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ljR0M2kSvnhrDL+Oeh1JijsAYWy1u5KREZ+tLNg2nzo="/>
    </ext>
  </extLst>
</workbook>
</file>

<file path=xl/sharedStrings.xml><?xml version="1.0" encoding="utf-8"?>
<sst xmlns="http://schemas.openxmlformats.org/spreadsheetml/2006/main" count="1247" uniqueCount="406">
  <si>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</si>
  <si>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</si>
  <si>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</si>
  <si>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</si>
  <si>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</si>
  <si>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</si>
  <si>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</si>
  <si>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</si>
  <si>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</si>
  <si>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</si>
  <si>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Фабрика Чудес</t>
  </si>
  <si>
    <t>GIRL POWER</t>
  </si>
  <si>
    <t>wow kids</t>
  </si>
  <si>
    <t>IT академія</t>
  </si>
  <si>
    <t>Медичний кабінет</t>
  </si>
  <si>
    <t>Гарячі потреби</t>
  </si>
  <si>
    <t>Чиста вода</t>
  </si>
  <si>
    <t>тепла зима</t>
  </si>
  <si>
    <t>День захисту дітей</t>
  </si>
  <si>
    <t>Благодійний аукціон</t>
  </si>
  <si>
    <t xml:space="preserve">за навчання Тищенко А. </t>
  </si>
  <si>
    <t>Німецький проєкт</t>
  </si>
  <si>
    <t>Повний портфель</t>
  </si>
  <si>
    <t>IT Camp</t>
  </si>
  <si>
    <t>Банківська комісія (приват)</t>
  </si>
  <si>
    <t>ТОВ "Сандора"</t>
  </si>
  <si>
    <t>UK ONLINE GIVING FOUNDATION</t>
  </si>
  <si>
    <t>інформаційно-консультаційні послуги ФОП Спотикайло О.М.</t>
  </si>
  <si>
    <t>оплата за інформаційні матеріали ФОП Королик О.І.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</si>
  <si>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</si>
  <si>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</si>
  <si>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</si>
  <si>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</si>
  <si>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</si>
  <si>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</si>
  <si>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ТОВ "СТІЛСВІТ</t>
  </si>
  <si>
    <t>послуги охорони</t>
  </si>
  <si>
    <t>ТОВ "ДЕЗЕГА ХОЛДІНГ УКРАЇНА"</t>
  </si>
  <si>
    <t>інформаційно-консультаційні послуги КЕЙ СОЛЮШНЗ ТОВ</t>
  </si>
  <si>
    <t>CHARITIES AID FOUNDATION</t>
  </si>
  <si>
    <t>Послуги прибирання примiщення (офісу)</t>
  </si>
  <si>
    <t>ПРАТ "МОНДЕЛІС УКРАЇНА"</t>
  </si>
  <si>
    <t>послуги перекладу ФОП Філь М.І.</t>
  </si>
  <si>
    <t>друк диплому ФОП Сушениця Б.О.</t>
  </si>
  <si>
    <t>послуги зв"язку ТОВ ТРИМОБ</t>
  </si>
  <si>
    <t>послуги зв"язку Київстар</t>
  </si>
  <si>
    <t>оплата послуг доопрацювання сайту ФОП Юраш А.П.</t>
  </si>
  <si>
    <t>плата за інтернет ТОВ "КН-ТЕЛ"</t>
  </si>
  <si>
    <t>бухгалтерські послуги ФОП Кірсанова Ю.В.</t>
  </si>
  <si>
    <t>ТОВ "ДЛЛ ЕЛЕКТРОНІКС"</t>
  </si>
  <si>
    <t xml:space="preserve">Всього: </t>
  </si>
  <si>
    <t>оплата за оновлення пакету в Медок ФОП Даєв</t>
  </si>
  <si>
    <t>оплата за мікрофон (для смм) ФОП Байдюк С.В.</t>
  </si>
  <si>
    <t>оплата за ремонт картриджа</t>
  </si>
  <si>
    <t>бухгалтерський супровід ТОВ кей Солюшнз</t>
  </si>
  <si>
    <t>оплата охорони</t>
  </si>
  <si>
    <t>виготовлення наліпок ФОП Бацан І.М.</t>
  </si>
  <si>
    <t>BREX TREASURY LLC</t>
  </si>
  <si>
    <t>ТОВ "СИНГЕНТА"</t>
  </si>
  <si>
    <t>оплата за воду ТОВ НК ЛТД</t>
  </si>
  <si>
    <t>ТОВ "Кастомертаймз</t>
  </si>
  <si>
    <t>зарплата (приват)</t>
  </si>
  <si>
    <t>CUSTOMERTIMES CORP</t>
  </si>
  <si>
    <t>АТ "Джей Ті</t>
  </si>
  <si>
    <t>оплата канцтоварів Універсалторг</t>
  </si>
  <si>
    <t>послуги веб інтерфейс ФОП Юраш А.П.</t>
  </si>
  <si>
    <t>консультування і залучення проектів ФОП Мельник Б.Ю.</t>
  </si>
  <si>
    <t>ТОВ "АТ КАРГІЛЛ"</t>
  </si>
  <si>
    <t>огплата за кільцеву лампу (для смм) ФОП Задерей Р.М.</t>
  </si>
  <si>
    <t xml:space="preserve">оплата за прибирання </t>
  </si>
  <si>
    <t>MONDELEZ INTERNATIONAL</t>
  </si>
  <si>
    <t>послуги консультаційно-правового характеру ФОП Ткаченко А.О.</t>
  </si>
  <si>
    <t>поштові марки</t>
  </si>
  <si>
    <t>рекламні послуги ФОП Шматко Т.І.</t>
  </si>
  <si>
    <t>доступ до CRM</t>
  </si>
  <si>
    <t>друк диплому</t>
  </si>
  <si>
    <t>ТОВ "ШОРТІКС"</t>
  </si>
  <si>
    <t>Благодійний пожертва</t>
  </si>
  <si>
    <t>Фундація друзів</t>
  </si>
  <si>
    <t>ТОВ "УПР"</t>
  </si>
  <si>
    <t>прибирання</t>
  </si>
  <si>
    <t>послуги перекладу</t>
  </si>
  <si>
    <t>МЕМБРАНА</t>
  </si>
  <si>
    <t>ТОВ "ПРОСПЕКТС УКРАЇНА"</t>
  </si>
  <si>
    <t>електронний документообіг Вчасно</t>
  </si>
  <si>
    <t>LOUIS DREYFUS COMPANY</t>
  </si>
  <si>
    <t>Освітній курс для фандрейзера Спотикайло О.М.</t>
  </si>
  <si>
    <t>оплата супроводу облікових систем ФОП Натура О.Г.</t>
  </si>
  <si>
    <t>ТОВ "ФЕНСІС"</t>
  </si>
  <si>
    <t>консультаційно-інформаційні послуги (навчання фандрейзерів) ФОП Гутюк С.Б.</t>
  </si>
  <si>
    <t>інформаційно- консультаційні послуги ФОП Чайка М.С.</t>
  </si>
  <si>
    <t>АТ "СЕНС Банк"</t>
  </si>
  <si>
    <t>ТОВ "КВАНТУЛА"</t>
  </si>
  <si>
    <t>ТОВ "АГРОПРОГРЕС ТЕРЕБОВЛЯ"</t>
  </si>
  <si>
    <t>ПМП "Лотос"</t>
  </si>
  <si>
    <t>ТОВ "ОКЕАН-СТАЛЬКОНСТРУКЦІЯ"</t>
  </si>
  <si>
    <t>ТзОВ "Креатив-Інжиніринг"</t>
  </si>
  <si>
    <t>ТОВ "АГРОПРОДСЕРВІС ІНВЕСТ"</t>
  </si>
  <si>
    <t>нов лікарні</t>
  </si>
  <si>
    <t>Модульні будинки</t>
  </si>
  <si>
    <t>УКРАВІТА</t>
  </si>
  <si>
    <t>абонентська плата ТОВ ЕМ АЙ АЙ ТІ</t>
  </si>
  <si>
    <t xml:space="preserve">послуги перекладу </t>
  </si>
  <si>
    <t>ТОВ"ТЕРВІКНОПЛАСТ"</t>
  </si>
  <si>
    <t xml:space="preserve">UK ONLINE GIVING FOUNDATION </t>
  </si>
  <si>
    <t>оплата за розміщення сайту (хостинг)ТОВ "ХОСТПРОЛАБ"</t>
  </si>
  <si>
    <t>ПП Приватна Агрофірма "МЮННТ"</t>
  </si>
  <si>
    <t>оплата за брендовані футболки в офіс ФОП Заєць Є.І.</t>
  </si>
  <si>
    <t>прибирання приміщення</t>
  </si>
  <si>
    <t>оплата за їжу для бранчів КСВ (ФОП Гарбарчук К.П.)</t>
  </si>
  <si>
    <t>СК "СХІДНА БРАМА"</t>
  </si>
  <si>
    <t>ОК "ЦЕНТРАЛ ХОЛ</t>
  </si>
  <si>
    <t>13/4/2023</t>
  </si>
  <si>
    <t>14/4/2023</t>
  </si>
  <si>
    <t>15/4/2023</t>
  </si>
  <si>
    <t>16/4/2023</t>
  </si>
  <si>
    <t>підтримка статутної діяльності Асоціація ЄБА</t>
  </si>
  <si>
    <t>17/4/2023</t>
  </si>
  <si>
    <t>організація заходу ФОП Чебакова Т.М.</t>
  </si>
  <si>
    <t>18/4/2023</t>
  </si>
  <si>
    <t>послуги створення стратегії проектів ФОП Терещенко К.В.</t>
  </si>
  <si>
    <t>19/4/2023</t>
  </si>
  <si>
    <t>ТОВ Укрнафтагазсервіс"</t>
  </si>
  <si>
    <t>послуги обслуговування заходу ФОП Петренко С.Л.</t>
  </si>
  <si>
    <t>20/4/2023</t>
  </si>
  <si>
    <t xml:space="preserve"> URGENT ACTION FUND</t>
  </si>
  <si>
    <t>21/4/2023</t>
  </si>
  <si>
    <t>22/4/2023</t>
  </si>
  <si>
    <t>23/4/2023</t>
  </si>
  <si>
    <t>24/4/2023</t>
  </si>
  <si>
    <t>ТОВ "СВІФТ ГАРАНТ"</t>
  </si>
  <si>
    <t>25/4/2023</t>
  </si>
  <si>
    <t>26/4/2023</t>
  </si>
  <si>
    <t>27/4/2023</t>
  </si>
  <si>
    <t>28/4/2023</t>
  </si>
  <si>
    <t>29/4/2023</t>
  </si>
  <si>
    <t>30/4/2023</t>
  </si>
  <si>
    <t>нові лікарні</t>
  </si>
  <si>
    <t>урок фінансоої грамотності</t>
  </si>
  <si>
    <t>WOW KIDS</t>
  </si>
  <si>
    <t>психологічна підтримка</t>
  </si>
  <si>
    <t>ОТП проект</t>
  </si>
  <si>
    <t>WOW camp7</t>
  </si>
  <si>
    <t>день захисту дітей</t>
  </si>
  <si>
    <t>ЯППI КОРПОРАТИВ ТОВ</t>
  </si>
  <si>
    <t>оплата за послуги Ворк ЮА</t>
  </si>
  <si>
    <t xml:space="preserve"> UK ONLINE GIVING FOUNDATION</t>
  </si>
  <si>
    <t>13/5/2023</t>
  </si>
  <si>
    <t>14/5/2023</t>
  </si>
  <si>
    <t>15/5/2023</t>
  </si>
  <si>
    <t>16/5/2023</t>
  </si>
  <si>
    <t>17/5/2023</t>
  </si>
  <si>
    <t>18/5/2023</t>
  </si>
  <si>
    <t>19/5/2023</t>
  </si>
  <si>
    <t>20/5/2023</t>
  </si>
  <si>
    <t>21/5/2023</t>
  </si>
  <si>
    <t>22/5/2023</t>
  </si>
  <si>
    <t>оплата за канцтовари</t>
  </si>
  <si>
    <t>23/5/2023</t>
  </si>
  <si>
    <t>АТ СЕНС БАНК"</t>
  </si>
  <si>
    <t>24/5/2023</t>
  </si>
  <si>
    <t>Оплата за послуги проведення стратегічної сесії ТОВ Моржова та Партнери</t>
  </si>
  <si>
    <t>ТОВ "НОУ СТАР3"</t>
  </si>
  <si>
    <t>25/5/2023</t>
  </si>
  <si>
    <t>FONDATION AIR LIQUIDE</t>
  </si>
  <si>
    <t>поштові відправлення ТОВ Нова Пошта</t>
  </si>
  <si>
    <t>26/5/2023</t>
  </si>
  <si>
    <t>27/5/2023</t>
  </si>
  <si>
    <t>придбання марок</t>
  </si>
  <si>
    <t>28/5/2023</t>
  </si>
  <si>
    <t>організація сніданку КСВ ФОП Делягіна О.В.</t>
  </si>
  <si>
    <t>29/5/2023</t>
  </si>
  <si>
    <t>30/5/2023</t>
  </si>
  <si>
    <t>31/5/2023</t>
  </si>
  <si>
    <t>ТОВ "АТІС ФАРМА"</t>
  </si>
  <si>
    <t>ТОВ "КАСТОМЕРТАЙ"</t>
  </si>
  <si>
    <t>захист дитинства</t>
  </si>
  <si>
    <t>Фірма Єдина Європа</t>
  </si>
  <si>
    <t>ТОВ "ФК МЕТАЛІСТ"</t>
  </si>
  <si>
    <t>OKSANA KULIKOVA SAVCHENKO</t>
  </si>
  <si>
    <t xml:space="preserve">INTEGRATIONS-KULTURZENTRUM E. V. </t>
  </si>
  <si>
    <t>ТОВ УПР</t>
  </si>
  <si>
    <t>ТОВ Проспектс Україна</t>
  </si>
  <si>
    <t>послуги Нової Пошти</t>
  </si>
  <si>
    <t>покупка телефону в офіс ФОП Минка О.В.</t>
  </si>
  <si>
    <t>інформаційно- консультаційні послуги ФОП Терещенко Н.А.</t>
  </si>
  <si>
    <t>ремонт картриджа</t>
  </si>
  <si>
    <t>придбання канцтоварів</t>
  </si>
  <si>
    <t>оголошення на Работа Інтернешнл</t>
  </si>
  <si>
    <t>печево в офіс ФОП Ольшевська А.А.</t>
  </si>
  <si>
    <t>13/6/2023</t>
  </si>
  <si>
    <t>EWOS AS THORMOHLENS GATE 51 BERGEN</t>
  </si>
  <si>
    <t>14/6/2023</t>
  </si>
  <si>
    <t>15/6/2023</t>
  </si>
  <si>
    <t>16/6/2023</t>
  </si>
  <si>
    <t>17/6/2023</t>
  </si>
  <si>
    <t>18/6/2023</t>
  </si>
  <si>
    <t>19/6/2023</t>
  </si>
  <si>
    <t>20/6/2023</t>
  </si>
  <si>
    <t>21/6/2023</t>
  </si>
  <si>
    <t>22/6/2023</t>
  </si>
  <si>
    <t>23/6/2023</t>
  </si>
  <si>
    <t>24/6/2023</t>
  </si>
  <si>
    <t>25/6/2023</t>
  </si>
  <si>
    <t>26/6/2023</t>
  </si>
  <si>
    <t>27/6/2023</t>
  </si>
  <si>
    <t>28/6/2023</t>
  </si>
  <si>
    <t>29/6/2023</t>
  </si>
  <si>
    <t>30/6/2023</t>
  </si>
  <si>
    <t>ТОВ ДПЛ ЕЛЕКТРОНІКС</t>
  </si>
  <si>
    <t>Модульне укриття</t>
  </si>
  <si>
    <t>відновлення приміщень після військових дій</t>
  </si>
  <si>
    <t>ХАБ</t>
  </si>
  <si>
    <t>13/7/2023</t>
  </si>
  <si>
    <t>оновлення Медка</t>
  </si>
  <si>
    <t>14/7/2023</t>
  </si>
  <si>
    <t>15/7/2023</t>
  </si>
  <si>
    <t>16/7/2023</t>
  </si>
  <si>
    <t>17/7/2023</t>
  </si>
  <si>
    <t>18/7/2023</t>
  </si>
  <si>
    <t>19/7/2023</t>
  </si>
  <si>
    <t>20/7/2023</t>
  </si>
  <si>
    <t>21/7/2023</t>
  </si>
  <si>
    <t>22/7/2023</t>
  </si>
  <si>
    <t>23/7/2023</t>
  </si>
  <si>
    <t>24/7/2023</t>
  </si>
  <si>
    <t xml:space="preserve">DEUTSCH-UKRAINISCHER VEREIN </t>
  </si>
  <si>
    <t>25/7/2023</t>
  </si>
  <si>
    <t>26/7/2023</t>
  </si>
  <si>
    <t>27/7/2023</t>
  </si>
  <si>
    <t>SVEA EKONOMI CYPRUS LIMITED</t>
  </si>
  <si>
    <t>28/7/2023</t>
  </si>
  <si>
    <t>29/7/2023</t>
  </si>
  <si>
    <t>30/7/2023</t>
  </si>
  <si>
    <t>31/07/2023</t>
  </si>
  <si>
    <t>ТОВ ДЛЛ ЕЛЕКТРОНІКС</t>
  </si>
  <si>
    <t>отп</t>
  </si>
  <si>
    <t>приват</t>
  </si>
  <si>
    <t>валюта</t>
  </si>
  <si>
    <t>моно</t>
  </si>
  <si>
    <t>UK ONLINE GIVING FOUNDATION SUITE</t>
  </si>
  <si>
    <t>13/08/2023</t>
  </si>
  <si>
    <t>14/08/2023</t>
  </si>
  <si>
    <t>15/08/2023</t>
  </si>
  <si>
    <t>16/08/2023</t>
  </si>
  <si>
    <t>17/08/2023</t>
  </si>
  <si>
    <t>ТОВ ЗЗВ ДЕК</t>
  </si>
  <si>
    <t>18/08/2023</t>
  </si>
  <si>
    <t>ГУД ГЬОРП ТОВ</t>
  </si>
  <si>
    <t>19/08/2023</t>
  </si>
  <si>
    <t>20/08/2023</t>
  </si>
  <si>
    <t>21/08/2023</t>
  </si>
  <si>
    <t>Jens Fuhrer 2/Ricarda-Huch-Str. 12 3</t>
  </si>
  <si>
    <t>22/08/2023</t>
  </si>
  <si>
    <t>ТОВ "Френді Еко"</t>
  </si>
  <si>
    <t>23/08/2023</t>
  </si>
  <si>
    <t>24/08/2023</t>
  </si>
  <si>
    <t>25/08/2023</t>
  </si>
  <si>
    <t>ТОВ "Меднова"</t>
  </si>
  <si>
    <t>26/08/2023</t>
  </si>
  <si>
    <t>27/08/2023</t>
  </si>
  <si>
    <t>СЕНС БАНК</t>
  </si>
  <si>
    <t>28/08/2023</t>
  </si>
  <si>
    <t>29/08/2023</t>
  </si>
  <si>
    <t>30/08/2023</t>
  </si>
  <si>
    <t>31/08/2023</t>
  </si>
  <si>
    <t>Прихисток з любов"ю</t>
  </si>
  <si>
    <t>організація конференції</t>
  </si>
  <si>
    <t>канцелярія</t>
  </si>
  <si>
    <t>небесна криниця</t>
  </si>
  <si>
    <t>оплата за бухгалтерський супровід</t>
  </si>
  <si>
    <t>розміщення сайту та доопрацювання</t>
  </si>
  <si>
    <t>зарплата друга половина (приват)</t>
  </si>
  <si>
    <t>консультативно-правові послуги</t>
  </si>
  <si>
    <t>обслуговування кондеционерів</t>
  </si>
  <si>
    <t>адміністративні витрати</t>
  </si>
  <si>
    <t>консультування і залучення проектів</t>
  </si>
  <si>
    <t>інтернет</t>
  </si>
  <si>
    <t>нова пошта</t>
  </si>
  <si>
    <t>рекламні послуги</t>
  </si>
  <si>
    <t>охорона</t>
  </si>
  <si>
    <t>послуги по сайту (ФОП ЮРАШ)</t>
  </si>
  <si>
    <t>послуги зв"язку</t>
  </si>
  <si>
    <t>телекомунікаційні послуги</t>
  </si>
  <si>
    <t>інформаційно-консультаційні послуги</t>
  </si>
  <si>
    <t>ТОВ ЮНІЛІВЕР</t>
  </si>
  <si>
    <t>оренда приміщення</t>
  </si>
  <si>
    <t>CHARITIES AID FOUNDATION AMERICA</t>
  </si>
  <si>
    <t>ворк</t>
  </si>
  <si>
    <t>налаштування роутера</t>
  </si>
  <si>
    <t>ТОВ НОВО НОРДІКС УКРАЇНА</t>
  </si>
  <si>
    <t>ТОВ САНДОРА</t>
  </si>
  <si>
    <t>CANADA FOUNDATION</t>
  </si>
  <si>
    <t>ЗЗВ ДЕК ТОВ</t>
  </si>
  <si>
    <t>Прихисток з любовʼю</t>
  </si>
  <si>
    <t>оплата за воду ТОВ ІДС АКВА</t>
  </si>
  <si>
    <t>покупка ламп в офіс ФОП Кушнір М.В.</t>
  </si>
  <si>
    <t>виготовлення наліпок ТОВ 24 Прінт</t>
  </si>
  <si>
    <t>ТОВ "Кастомертаймз"</t>
  </si>
  <si>
    <t>оплата за паперові пакети ФОП Галонова В.О.</t>
  </si>
  <si>
    <t>виготовлення вивіски ФОП Денисенко Є.О.</t>
  </si>
  <si>
    <t>ведення акаунту Фейсбука ТОВ Ланет Клімат</t>
  </si>
  <si>
    <r>
      <rPr>
        <rFont val="Calibri"/>
        <color theme="1"/>
        <sz val="11.0"/>
      </rPr>
      <t>ЯППI ПП</t>
    </r>
  </si>
  <si>
    <t>ТОВ Маркетинг Солюшинз</t>
  </si>
  <si>
    <t>органайзер-дошка Білгородський О.О. ФОП</t>
  </si>
  <si>
    <t>Стратегічна сесія ФОП Бойко Олександра Олегівна</t>
  </si>
  <si>
    <t>13/10/2023</t>
  </si>
  <si>
    <t>кавомашина в офіс ТОВ Комфі-Трейд</t>
  </si>
  <si>
    <t>ТОВ "Медилайн"</t>
  </si>
  <si>
    <t>послуги гугл ФОП Онен Ірина Романівна</t>
  </si>
  <si>
    <t>14/10/2023</t>
  </si>
  <si>
    <t>15/10/2023</t>
  </si>
  <si>
    <t>16/10/2023</t>
  </si>
  <si>
    <t>оплата за пакет оголошень Робота Інтернешнл</t>
  </si>
  <si>
    <t>17/10/2023</t>
  </si>
  <si>
    <t>оплата за організацію закладу ФОП Сусла Віталій Васильович</t>
  </si>
  <si>
    <t>послуги відеозйомки та монтажу відеоролика ФОП Гульпа Є.С.</t>
  </si>
  <si>
    <t>ТОВ Магма</t>
  </si>
  <si>
    <t>покупка ламп в офіс ФОП Моргун Я.Д,</t>
  </si>
  <si>
    <t>заправка картриджа в прінтер ФОП Трубець Є.В.</t>
  </si>
  <si>
    <t>тов САНДОРА</t>
  </si>
  <si>
    <t>ТОВ КУН-Україна</t>
  </si>
  <si>
    <t>ТОВ Сандора</t>
  </si>
  <si>
    <t>ТОВ МЕМБРАНА</t>
  </si>
  <si>
    <t>Тепла зима</t>
  </si>
  <si>
    <t>обслуговування заходу ФОП Дніпровський Я.Є.</t>
  </si>
  <si>
    <t>ТОВ "Стоунсенд"</t>
  </si>
  <si>
    <t>ТОВ Меднова</t>
  </si>
  <si>
    <t>послуги консульиування з питань комерційної діяльності ФОП Зубрицька Н.Б.</t>
  </si>
  <si>
    <t>поліграфічні послуги (наліпки) ФОП Бацан Н.І.</t>
  </si>
  <si>
    <t>послуги фотозйомки КСВ Бранчу ФОП Вудс Різ</t>
  </si>
  <si>
    <t>ведення акаунту Фейсбука ТОВ Лє Клік</t>
  </si>
  <si>
    <t>оплата ТОВ Дата Хаус</t>
  </si>
  <si>
    <t>розміщення рекламних матеріалів ОО Громадське Телебачення</t>
  </si>
  <si>
    <t>Ресурсний центр НДО ГО</t>
  </si>
  <si>
    <t>ТОВ КастомертайМЗ</t>
  </si>
  <si>
    <t>послуги з уадиту ТОВ КЙЧ ЕЛ БІ ЮКРЕЙН</t>
  </si>
  <si>
    <t>оплата за товари ФОП Анікєєв Богдан Владиславович</t>
  </si>
  <si>
    <t>послуги аудита АФ Консалтинг Лтд ТОВ</t>
  </si>
  <si>
    <t>оплата за надання права за використання ліцензії ТОВ СІФТ</t>
  </si>
  <si>
    <t>UKRAINE ASSISTANCE FUND</t>
  </si>
  <si>
    <t>брендовані футболки  ФОП Козодой І.О.</t>
  </si>
  <si>
    <t>оплата зі створення макету книги ФОП Покрасова О.С.</t>
  </si>
  <si>
    <t>ФОП Медвіідь Ю.С.</t>
  </si>
  <si>
    <t>оплата за електроний продукт ТОВ Меркурій Інформ</t>
  </si>
  <si>
    <t>послуги копірайтенгу ФОП Брянська Р.О.</t>
  </si>
  <si>
    <t>послуги з організації заходу ТОФ Дата Хаус</t>
  </si>
  <si>
    <t>приз з гравіюванням ФОП Ворохоб</t>
  </si>
  <si>
    <t>оплата за худі ФОП Вараниця</t>
  </si>
  <si>
    <t xml:space="preserve">за товари (книги) ФОП Чужовська </t>
  </si>
  <si>
    <t>ТОВ КУН Україна</t>
  </si>
  <si>
    <t>товари з логотипом Дата Хаус</t>
  </si>
  <si>
    <t>Ліон Плюс ПФ</t>
  </si>
  <si>
    <t>ТОВ ДПЛ Електронікс</t>
  </si>
  <si>
    <t>ТОВ КВС УКРАЇНА</t>
  </si>
  <si>
    <t xml:space="preserve">CHARITIES AID FOUNDATION AMERICA </t>
  </si>
  <si>
    <t>ЛІОН ПЛЮС ПФ</t>
  </si>
  <si>
    <t>CARGILL INTERNATIONAL SA</t>
  </si>
  <si>
    <t>оплата за товари ТОВ АВВЕСТОК (канцелярія)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</si>
  <si>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</si>
  <si>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</si>
  <si>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</si>
  <si>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</si>
  <si>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</si>
  <si>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</si>
  <si>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</si>
  <si>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</si>
  <si>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</si>
  <si>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</si>
  <si>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</si>
  <si>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</si>
  <si>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</si>
  <si>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</si>
  <si>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</si>
  <si>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</si>
  <si>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</si>
  <si>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</si>
  <si>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</si>
  <si>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</si>
  <si>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</si>
  <si>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URGENT ACTION FUND</t>
  </si>
  <si>
    <t>INTEGRATIONS-KULTURZENTRUM E. V.</t>
  </si>
  <si>
    <t>DEUTSCH-UKRAINISCHER VEREIN</t>
  </si>
  <si>
    <t>ТОВ Елаєнс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</si>
  <si>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</si>
  <si>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</si>
  <si>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</si>
  <si>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</si>
  <si>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</si>
  <si>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</si>
  <si>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</si>
  <si>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</si>
  <si>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</si>
  <si>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</si>
  <si>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</si>
  <si>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евакуація (транспортне обслуговування)</t>
  </si>
  <si>
    <t>БО Зміни одне життя</t>
  </si>
  <si>
    <t xml:space="preserve">Збір за навчання Тищенко А. </t>
  </si>
  <si>
    <t>урок фінансової грамотності</t>
  </si>
  <si>
    <t>Благодійна пожертва</t>
  </si>
  <si>
    <t>Закупівля медикаментів Лікарня №1</t>
  </si>
  <si>
    <t>БФ Фундація друзів</t>
  </si>
  <si>
    <t>OTP HELPS</t>
  </si>
  <si>
    <t>Манделіс Україна</t>
  </si>
  <si>
    <t>Мед.обладнання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</si>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</sst>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_ * #,##0.00_ ;_ * \-#,##0.00_ ;_ * &quot;-&quot;??_ ;_ @_ "/>
    <numFmt numFmtId="166" formatCode="m/d/yyyy"/>
    <numFmt numFmtId="167" formatCode="dd/mm/yyyy"/>
    <numFmt numFmtId="168" formatCode="d.m.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BFBFBF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9.0"/>
      <color rgb="FF000000"/>
      <name val="&quot;Google Sans Mono&quot;"/>
    </font>
    <font>
      <sz val="10.0"/>
      <color theme="1"/>
      <name val="Arial"/>
    </font>
    <font>
      <color rgb="FF000000"/>
      <name val="Calibri"/>
    </font>
    <font>
      <color rgb="FF000000"/>
      <name val="Arial"/>
    </font>
    <font>
      <b/>
      <sz val="11.0"/>
      <color rgb="FF595959"/>
      <name val="Calibri"/>
    </font>
    <font>
      <sz val="11.0"/>
      <color rgb="FF595959"/>
      <name val="Calibri"/>
    </font>
    <font>
      <sz val="9.0"/>
      <color rgb="FF1F1F1F"/>
      <name val="&quot;Google Sans&quot;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2CB"/>
        <bgColor rgb="FFFFF2CB"/>
      </patternFill>
    </fill>
    <fill>
      <patternFill patternType="solid">
        <fgColor rgb="FFBDD7EE"/>
        <bgColor rgb="FFBDD7EE"/>
      </patternFill>
    </fill>
    <fill>
      <patternFill patternType="solid">
        <fgColor rgb="FFFEE599"/>
        <bgColor rgb="FFFEE599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2" numFmtId="0" xfId="0" applyAlignment="1" applyFont="1">
      <alignment shrinkToFit="0" vertical="top" wrapText="1"/>
    </xf>
    <xf borderId="1" fillId="2" fontId="2" numFmtId="0" xfId="0" applyBorder="1" applyFill="1" applyFont="1"/>
    <xf borderId="0" fillId="0" fontId="5" numFmtId="165" xfId="0" applyAlignment="1" applyFont="1" applyNumberFormat="1">
      <alignment horizontal="right" vertical="top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vertical="top" wrapText="1"/>
    </xf>
    <xf borderId="0" fillId="0" fontId="2" numFmtId="165" xfId="0" applyAlignment="1" applyFont="1" applyNumberFormat="1">
      <alignment horizontal="center" shrinkToFit="0" vertical="top" wrapText="1"/>
    </xf>
    <xf borderId="0" fillId="0" fontId="2" numFmtId="0" xfId="0" applyAlignment="1" applyFont="1">
      <alignment shrinkToFit="0" wrapText="1"/>
    </xf>
    <xf borderId="0" fillId="0" fontId="2" numFmtId="165" xfId="0" applyAlignment="1" applyFont="1" applyNumberFormat="1">
      <alignment horizontal="right" vertical="top"/>
    </xf>
    <xf borderId="0" fillId="0" fontId="2" numFmtId="0" xfId="0" applyAlignment="1" applyFont="1">
      <alignment readingOrder="0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left" shrinkToFit="0" wrapText="1"/>
    </xf>
    <xf borderId="0" fillId="0" fontId="4" numFmtId="0" xfId="0" applyAlignment="1" applyFont="1">
      <alignment readingOrder="0"/>
    </xf>
    <xf borderId="0" fillId="0" fontId="5" numFmtId="4" xfId="0" applyAlignment="1" applyFont="1" applyNumberFormat="1">
      <alignment horizontal="right" vertical="top"/>
    </xf>
    <xf borderId="1" fillId="3" fontId="1" numFmtId="164" xfId="0" applyBorder="1" applyFill="1" applyFont="1" applyNumberFormat="1"/>
    <xf borderId="1" fillId="3" fontId="1" numFmtId="2" xfId="0" applyBorder="1" applyFont="1" applyNumberFormat="1"/>
    <xf borderId="0" fillId="0" fontId="1" numFmtId="2" xfId="0" applyFont="1" applyNumberFormat="1"/>
    <xf borderId="0" fillId="4" fontId="6" numFmtId="0" xfId="0" applyAlignment="1" applyFill="1" applyFont="1">
      <alignment readingOrder="0"/>
    </xf>
    <xf borderId="1" fillId="2" fontId="2" numFmtId="0" xfId="0" applyAlignment="1" applyBorder="1" applyFont="1">
      <alignment vertical="top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2" numFmtId="2" xfId="0" applyAlignment="1" applyFont="1" applyNumberFormat="1">
      <alignment vertical="top"/>
    </xf>
    <xf borderId="0" fillId="0" fontId="7" numFmtId="0" xfId="0" applyAlignment="1" applyFont="1">
      <alignment readingOrder="0" shrinkToFit="0" wrapText="1"/>
    </xf>
    <xf borderId="0" fillId="0" fontId="1" numFmtId="166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shrinkToFit="0" vertical="center" wrapText="1"/>
    </xf>
    <xf borderId="0" fillId="0" fontId="2" numFmtId="166" xfId="0" applyAlignment="1" applyFont="1" applyNumberFormat="1">
      <alignment vertical="top"/>
    </xf>
    <xf borderId="0" fillId="0" fontId="2" numFmtId="166" xfId="0" applyAlignment="1" applyFont="1" applyNumberFormat="1">
      <alignment horizontal="right" vertical="top"/>
    </xf>
    <xf borderId="0" fillId="4" fontId="9" numFmtId="0" xfId="0" applyAlignment="1" applyFont="1">
      <alignment readingOrder="0"/>
    </xf>
    <xf borderId="1" fillId="3" fontId="1" numFmtId="166" xfId="0" applyBorder="1" applyFont="1" applyNumberFormat="1"/>
    <xf borderId="0" fillId="0" fontId="2" numFmtId="166" xfId="0" applyFont="1" applyNumberFormat="1"/>
    <xf borderId="1" fillId="2" fontId="10" numFmtId="0" xfId="0" applyBorder="1" applyFont="1"/>
    <xf borderId="0" fillId="0" fontId="10" numFmtId="0" xfId="0" applyFont="1"/>
    <xf borderId="1" fillId="5" fontId="2" numFmtId="0" xfId="0" applyBorder="1" applyFill="1" applyFont="1"/>
    <xf borderId="1" fillId="6" fontId="2" numFmtId="0" xfId="0" applyBorder="1" applyFill="1" applyFont="1"/>
    <xf borderId="1" fillId="7" fontId="2" numFmtId="0" xfId="0" applyBorder="1" applyFill="1" applyFont="1"/>
    <xf borderId="1" fillId="8" fontId="2" numFmtId="0" xfId="0" applyBorder="1" applyFill="1" applyFont="1"/>
    <xf borderId="1" fillId="2" fontId="2" numFmtId="0" xfId="0" applyAlignment="1" applyBorder="1" applyFont="1">
      <alignment shrinkToFit="0" wrapText="1"/>
    </xf>
    <xf borderId="0" fillId="0" fontId="2" numFmtId="166" xfId="0" applyAlignment="1" applyFont="1" applyNumberFormat="1">
      <alignment horizontal="right"/>
    </xf>
    <xf borderId="1" fillId="2" fontId="2" numFmtId="0" xfId="0" applyAlignment="1" applyBorder="1" applyFont="1">
      <alignment shrinkToFit="0" vertical="top" wrapText="1"/>
    </xf>
    <xf borderId="0" fillId="0" fontId="11" numFmtId="166" xfId="0" applyAlignment="1" applyFont="1" applyNumberFormat="1">
      <alignment shrinkToFit="0" vertical="top" wrapText="0"/>
    </xf>
    <xf borderId="0" fillId="0" fontId="11" numFmtId="0" xfId="0" applyAlignment="1" applyFont="1">
      <alignment vertical="top"/>
    </xf>
    <xf borderId="0" fillId="0" fontId="11" numFmtId="0" xfId="0" applyAlignment="1" applyFont="1">
      <alignment shrinkToFit="0" vertical="top" wrapText="0"/>
    </xf>
    <xf borderId="0" fillId="0" fontId="11" numFmtId="0" xfId="0" applyAlignment="1" applyFont="1">
      <alignment horizontal="right" readingOrder="0" shrinkToFit="0" vertical="top" wrapText="0"/>
    </xf>
    <xf borderId="0" fillId="0" fontId="11" numFmtId="0" xfId="0" applyAlignment="1" applyFont="1">
      <alignment readingOrder="0" vertical="top"/>
    </xf>
    <xf borderId="0" fillId="0" fontId="11" numFmtId="166" xfId="0" applyAlignment="1" applyFont="1" applyNumberFormat="1">
      <alignment horizontal="right" readingOrder="0" shrinkToFit="0" vertical="top" wrapText="0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vertical="bottom"/>
    </xf>
    <xf borderId="0" fillId="0" fontId="11" numFmtId="0" xfId="0" applyAlignment="1" applyFont="1">
      <alignment readingOrder="0" shrinkToFit="0" vertical="bottom" wrapText="0"/>
    </xf>
    <xf borderId="0" fillId="0" fontId="11" numFmtId="0" xfId="0" applyAlignment="1" applyFont="1">
      <alignment readingOrder="0" vertical="bottom"/>
    </xf>
    <xf borderId="0" fillId="0" fontId="11" numFmtId="0" xfId="0" applyAlignment="1" applyFont="1">
      <alignment readingOrder="0" shrinkToFit="0" vertical="top" wrapText="0"/>
    </xf>
    <xf borderId="0" fillId="2" fontId="11" numFmtId="0" xfId="0" applyAlignment="1" applyFont="1">
      <alignment readingOrder="0" vertical="bottom"/>
    </xf>
    <xf borderId="0" fillId="2" fontId="11" numFmtId="0" xfId="0" applyAlignment="1" applyFont="1">
      <alignment horizontal="right" readingOrder="0" shrinkToFit="0" vertical="top" wrapText="0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horizontal="right" readingOrder="0" shrinkToFit="0" vertical="bottom" wrapText="0"/>
    </xf>
    <xf borderId="0" fillId="2" fontId="11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11" numFmtId="167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4" xfId="0" applyAlignment="1" applyFont="1" applyNumberFormat="1">
      <alignment horizontal="center" vertical="top"/>
    </xf>
    <xf borderId="0" fillId="0" fontId="2" numFmtId="4" xfId="0" applyAlignment="1" applyFont="1" applyNumberFormat="1">
      <alignment horizontal="center" shrinkToFit="0" vertical="top" wrapText="1"/>
    </xf>
    <xf borderId="0" fillId="0" fontId="2" numFmtId="4" xfId="0" applyAlignment="1" applyFont="1" applyNumberFormat="1">
      <alignment horizontal="center" readingOrder="0" vertical="top"/>
    </xf>
    <xf borderId="1" fillId="2" fontId="10" numFmtId="0" xfId="0" applyAlignment="1" applyBorder="1" applyFont="1">
      <alignment readingOrder="0"/>
    </xf>
    <xf borderId="0" fillId="0" fontId="2" numFmtId="0" xfId="0" applyAlignment="1" applyFont="1">
      <alignment readingOrder="0" shrinkToFit="0" wrapText="1"/>
    </xf>
    <xf borderId="1" fillId="2" fontId="2" numFmtId="0" xfId="0" applyAlignment="1" applyBorder="1" applyFont="1">
      <alignment readingOrder="0" vertical="top"/>
    </xf>
    <xf borderId="0" fillId="0" fontId="2" numFmtId="168" xfId="0" applyAlignment="1" applyFont="1" applyNumberFormat="1">
      <alignment horizontal="right" readingOrder="0" vertical="top"/>
    </xf>
    <xf borderId="0" fillId="0" fontId="4" numFmtId="4" xfId="0" applyAlignment="1" applyFont="1" applyNumberFormat="1">
      <alignment horizontal="center"/>
    </xf>
    <xf borderId="0" fillId="0" fontId="2" numFmtId="4" xfId="0" applyAlignment="1" applyFont="1" applyNumberFormat="1">
      <alignment vertical="top"/>
    </xf>
    <xf borderId="0" fillId="0" fontId="2" numFmtId="167" xfId="0" applyAlignment="1" applyFont="1" applyNumberFormat="1">
      <alignment readingOrder="0" vertical="top"/>
    </xf>
    <xf borderId="0" fillId="2" fontId="10" numFmtId="0" xfId="0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readingOrder="0" vertical="top"/>
    </xf>
    <xf borderId="0" fillId="0" fontId="4" numFmtId="4" xfId="0" applyFont="1" applyNumberFormat="1"/>
    <xf borderId="1" fillId="3" fontId="1" numFmtId="4" xfId="0" applyBorder="1" applyFont="1" applyNumberFormat="1"/>
    <xf borderId="1" fillId="2" fontId="2" numFmtId="0" xfId="0" applyAlignment="1" applyBorder="1" applyFont="1">
      <alignment readingOrder="0" shrinkToFit="0" vertical="top" wrapText="1"/>
    </xf>
    <xf borderId="0" fillId="2" fontId="10" numFmtId="0" xfId="0" applyAlignment="1" applyFont="1">
      <alignment readingOrder="0"/>
    </xf>
    <xf borderId="1" fillId="0" fontId="2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readingOrder="0"/>
    </xf>
    <xf borderId="0" fillId="2" fontId="2" numFmtId="0" xfId="0" applyAlignment="1" applyFont="1">
      <alignment readingOrder="0" shrinkToFit="0" wrapText="1"/>
    </xf>
    <xf borderId="0" fillId="2" fontId="2" numFmtId="0" xfId="0" applyAlignment="1" applyFont="1">
      <alignment readingOrder="0" vertical="top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" fillId="9" fontId="1" numFmtId="49" xfId="0" applyBorder="1" applyFill="1" applyFont="1" applyNumberFormat="1"/>
    <xf borderId="1" fillId="9" fontId="1" numFmtId="0" xfId="0" applyAlignment="1" applyBorder="1" applyFont="1">
      <alignment shrinkToFit="0" wrapText="1"/>
    </xf>
    <xf borderId="1" fillId="9" fontId="13" numFmtId="2" xfId="0" applyBorder="1" applyFont="1" applyNumberFormat="1"/>
    <xf borderId="1" fillId="9" fontId="1" numFmtId="4" xfId="0" applyBorder="1" applyFont="1" applyNumberFormat="1"/>
    <xf borderId="1" fillId="8" fontId="1" numFmtId="49" xfId="0" applyBorder="1" applyFont="1" applyNumberFormat="1"/>
    <xf borderId="1" fillId="8" fontId="1" numFmtId="0" xfId="0" applyAlignment="1" applyBorder="1" applyFont="1">
      <alignment shrinkToFit="0" wrapText="1"/>
    </xf>
    <xf borderId="1" fillId="8" fontId="13" numFmtId="2" xfId="0" applyBorder="1" applyFont="1" applyNumberFormat="1"/>
    <xf borderId="1" fillId="8" fontId="1" numFmtId="4" xfId="0" applyBorder="1" applyFont="1" applyNumberFormat="1"/>
    <xf borderId="1" fillId="10" fontId="1" numFmtId="49" xfId="0" applyBorder="1" applyFill="1" applyFont="1" applyNumberFormat="1"/>
    <xf borderId="1" fillId="10" fontId="1" numFmtId="0" xfId="0" applyAlignment="1" applyBorder="1" applyFont="1">
      <alignment shrinkToFit="0" wrapText="1"/>
    </xf>
    <xf borderId="1" fillId="10" fontId="13" numFmtId="2" xfId="0" applyBorder="1" applyFont="1" applyNumberFormat="1"/>
    <xf borderId="1" fillId="10" fontId="13" numFmtId="4" xfId="0" applyBorder="1" applyFont="1" applyNumberFormat="1"/>
    <xf borderId="1" fillId="10" fontId="1" numFmtId="4" xfId="0" applyBorder="1" applyFont="1" applyNumberFormat="1"/>
    <xf borderId="0" fillId="0" fontId="2" numFmtId="2" xfId="0" applyFont="1" applyNumberFormat="1"/>
    <xf borderId="0" fillId="0" fontId="14" numFmtId="2" xfId="0" applyAlignment="1" applyFont="1" applyNumberFormat="1">
      <alignment horizontal="right" readingOrder="0"/>
    </xf>
    <xf borderId="0" fillId="0" fontId="14" numFmtId="2" xfId="0" applyAlignment="1" applyFont="1" applyNumberFormat="1">
      <alignment horizontal="right"/>
    </xf>
    <xf borderId="0" fillId="0" fontId="13" numFmtId="4" xfId="0" applyFont="1" applyNumberFormat="1"/>
    <xf borderId="1" fillId="10" fontId="1" numFmtId="0" xfId="0" applyAlignment="1" applyBorder="1" applyFont="1">
      <alignment horizontal="left" shrinkToFit="0" wrapText="1"/>
    </xf>
    <xf borderId="0" fillId="0" fontId="1" numFmtId="0" xfId="0" applyFont="1"/>
    <xf borderId="1" fillId="8" fontId="1" numFmtId="0" xfId="0" applyAlignment="1" applyBorder="1" applyFont="1">
      <alignment horizontal="left" shrinkToFit="0" wrapText="1"/>
    </xf>
    <xf borderId="1" fillId="8" fontId="13" numFmtId="4" xfId="0" applyBorder="1" applyFont="1" applyNumberFormat="1"/>
    <xf borderId="1" fillId="8" fontId="13" numFmtId="4" xfId="0" applyAlignment="1" applyBorder="1" applyFont="1" applyNumberFormat="1">
      <alignment readingOrder="0"/>
    </xf>
    <xf borderId="0" fillId="0" fontId="2" numFmtId="4" xfId="0" applyFont="1" applyNumberFormat="1"/>
    <xf borderId="1" fillId="9" fontId="13" numFmtId="4" xfId="0" applyBorder="1" applyFont="1" applyNumberFormat="1"/>
    <xf borderId="0" fillId="0" fontId="2" numFmtId="0" xfId="0" applyAlignment="1" applyFont="1">
      <alignment horizontal="left" shrinkToFit="0" vertical="center" wrapText="1"/>
    </xf>
    <xf borderId="0" fillId="0" fontId="14" numFmtId="2" xfId="0" applyAlignment="1" applyFont="1" applyNumberFormat="1">
      <alignment vertical="center"/>
    </xf>
    <xf borderId="0" fillId="0" fontId="14" numFmtId="2" xfId="0" applyAlignment="1" applyFont="1" applyNumberFormat="1">
      <alignment readingOrder="0" vertical="center"/>
    </xf>
    <xf borderId="0" fillId="0" fontId="14" numFmtId="4" xfId="0" applyAlignment="1" applyFont="1" applyNumberFormat="1">
      <alignment readingOrder="0" vertical="center"/>
    </xf>
    <xf borderId="0" fillId="0" fontId="2" numFmtId="0" xfId="0" applyAlignment="1" applyFont="1">
      <alignment horizontal="left" readingOrder="0" shrinkToFit="0" wrapText="1"/>
    </xf>
    <xf borderId="0" fillId="0" fontId="14" numFmtId="4" xfId="0" applyAlignment="1" applyFont="1" applyNumberFormat="1">
      <alignment vertical="center"/>
    </xf>
    <xf borderId="0" fillId="4" fontId="15" numFmtId="0" xfId="0" applyAlignment="1" applyFont="1">
      <alignment readingOrder="0"/>
    </xf>
    <xf borderId="0" fillId="0" fontId="2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0.14"/>
    <col customWidth="1" min="2" max="2" width="21.71"/>
    <col customWidth="1" min="3" max="3" width="11.14"/>
    <col customWidth="1" min="4" max="4" width="13.57"/>
    <col customWidth="1" min="5" max="5" width="14.43"/>
    <col customWidth="1" hidden="1" min="6" max="6" width="11.29"/>
    <col customWidth="1" min="7" max="7" width="12.29"/>
    <col customWidth="1" min="8" max="8" width="11.14"/>
    <col customWidth="1" min="9" max="9" width="10.86"/>
    <col customWidth="1" min="10" max="10" width="9.14"/>
    <col customWidth="1" min="11" max="11" width="7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14.25" customHeight="1">
      <c r="A1" s="1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14.25" customHeight="1">
      <c r="A2" s="6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/>
    </row>
    <row r="3" ht="14.25" customHeight="1">
      <c r="A3" s="7">
        <v>44928.0</v>
      </c>
      <c r="D3" s="7">
        <f>9.5+499.5+99.5+5000+500+50+49.5+3999.5+49.5+4.5+200+4000</f>
        <v>14461.5</v>
      </c>
      <c r="E3" s="7">
        <f>660+60+100+120+60+500+5000+100+100+60+120+70+100+550+550+240+240+1000+100+100+2200+600+550+240+240+240+120+100+600+1100+120+60+600+600+120+60+600+240+20+294.6+4919.82</f>
        <v>23454.42</v>
      </c>
      <c r="F3" s="8">
        <f>SUBTOTAL(9,C3:E3)</f>
        <v>37915.92</v>
      </c>
      <c r="G3" s="7">
        <v>21.04</v>
      </c>
      <c r="L3" s="9">
        <v>575836.95</v>
      </c>
      <c r="M3" s="9">
        <v>200.0</v>
      </c>
      <c r="V3" s="7">
        <f>3+3+3+3+3+3+3+3+3+3+3+3+3+3+3+3+3+3+3+3+3+3+3+3+3+3+3+3+3+3+3+3+3+3+3+3+3+3+3+3+3+3+3+3+3+3+3+3+3+3+3+3+3+3+3+3+3+3+3+3+3+3+3+3+3+3+3+3+3+3+3</f>
        <v>213</v>
      </c>
      <c r="W3" s="10" t="s">
        <v>24</v>
      </c>
      <c r="X3" s="10"/>
    </row>
    <row r="4" ht="14.25" customHeight="1">
      <c r="A4" s="7">
        <v>44929.0</v>
      </c>
      <c r="B4" s="9" t="s">
        <v>25</v>
      </c>
      <c r="C4" s="9">
        <v>245440.0</v>
      </c>
      <c r="D4" s="9">
        <f>99.5+0.5+199.5+9.5+0.5+500+1000+199.5+500+199.5+50000</f>
        <v>52708.5</v>
      </c>
      <c r="E4" s="9">
        <f>220+120+600+120+120120+200+50+60+240+600+660+660+1500+200</f>
        <v>125350</v>
      </c>
      <c r="F4" s="8">
        <f>SUBTOTAL(9,C4:D4)</f>
        <v>298148.5</v>
      </c>
      <c r="G4" s="7"/>
      <c r="M4" s="7"/>
      <c r="W4" s="10"/>
      <c r="X4" s="10"/>
    </row>
    <row r="5" ht="14.25" customHeight="1">
      <c r="A5" s="7">
        <v>44929.0</v>
      </c>
      <c r="B5" s="9" t="s">
        <v>26</v>
      </c>
      <c r="C5" s="11">
        <v>82642.02</v>
      </c>
      <c r="D5" s="7"/>
      <c r="F5" s="8"/>
      <c r="G5" s="7"/>
      <c r="L5" s="7"/>
      <c r="M5" s="12"/>
      <c r="N5" s="7"/>
      <c r="O5" s="12"/>
      <c r="V5" s="13">
        <f>12500</f>
        <v>12500</v>
      </c>
      <c r="W5" s="14" t="s">
        <v>27</v>
      </c>
      <c r="X5" s="10"/>
    </row>
    <row r="6" ht="14.25" customHeight="1">
      <c r="A6" s="7">
        <v>44930.0</v>
      </c>
      <c r="B6" s="9" t="s">
        <v>26</v>
      </c>
      <c r="C6" s="11">
        <v>44650.86</v>
      </c>
      <c r="D6" s="7">
        <f>99.5+0.5</f>
        <v>100</v>
      </c>
      <c r="E6" s="9">
        <f>600+2200+55+100+240+6+1100</f>
        <v>4301</v>
      </c>
      <c r="F6" s="8">
        <f t="shared" ref="F6:F13" si="1">SUBTOTAL(9,C6:E6)</f>
        <v>49051.86</v>
      </c>
      <c r="G6" s="7"/>
      <c r="L6" s="7"/>
      <c r="M6" s="12"/>
      <c r="N6" s="7"/>
      <c r="O6" s="12"/>
      <c r="V6" s="13">
        <f>20000</f>
        <v>20000</v>
      </c>
      <c r="W6" s="14" t="s">
        <v>28</v>
      </c>
      <c r="X6" s="10"/>
    </row>
    <row r="7" ht="14.25" customHeight="1">
      <c r="A7" s="7">
        <v>44931.0</v>
      </c>
      <c r="D7" s="7">
        <f>99.5+0.5+2000+100+50</f>
        <v>2250</v>
      </c>
      <c r="E7" s="9">
        <f>600+24+120+50+1200+252+880+110</f>
        <v>3236</v>
      </c>
      <c r="F7" s="8">
        <f t="shared" si="1"/>
        <v>5486</v>
      </c>
      <c r="G7" s="7"/>
      <c r="H7" s="7"/>
      <c r="L7" s="7"/>
      <c r="M7" s="15"/>
      <c r="N7" s="7"/>
      <c r="O7" s="15"/>
      <c r="V7" s="13">
        <f>879.56+51.23</f>
        <v>930.79</v>
      </c>
      <c r="W7" s="14" t="s">
        <v>29</v>
      </c>
      <c r="X7" s="10"/>
    </row>
    <row r="8" ht="14.25" customHeight="1">
      <c r="A8" s="7">
        <v>44932.0</v>
      </c>
      <c r="D8" s="7">
        <f>1+10000+10+9.5</f>
        <v>10020.5</v>
      </c>
      <c r="E8" s="7">
        <f>440+200+600+240+220+1200+60+840+50+240</f>
        <v>4090</v>
      </c>
      <c r="F8" s="8">
        <f t="shared" si="1"/>
        <v>14110.5</v>
      </c>
      <c r="G8" s="7"/>
      <c r="L8" s="7"/>
      <c r="M8" s="12"/>
      <c r="N8" s="7"/>
      <c r="O8" s="15"/>
      <c r="V8" s="7">
        <f>1853.93</f>
        <v>1853.93</v>
      </c>
      <c r="W8" s="14" t="s">
        <v>30</v>
      </c>
      <c r="X8" s="10"/>
    </row>
    <row r="9" ht="14.25" customHeight="1">
      <c r="A9" s="7">
        <v>44933.0</v>
      </c>
      <c r="B9" s="16"/>
      <c r="D9" s="9">
        <f>999.5</f>
        <v>999.5</v>
      </c>
      <c r="E9" s="7">
        <f>240+3000+500+240+600+1000</f>
        <v>5580</v>
      </c>
      <c r="F9" s="8">
        <f t="shared" si="1"/>
        <v>6579.5</v>
      </c>
      <c r="G9" s="7"/>
      <c r="L9" s="7"/>
      <c r="M9" s="12"/>
      <c r="N9" s="7"/>
      <c r="O9" s="15"/>
      <c r="V9" s="7">
        <f>2999.36+5455.7+7274.27+4390.91+670.66+12500.19+5525.23+3817.53</f>
        <v>42633.85</v>
      </c>
      <c r="W9" s="14" t="s">
        <v>31</v>
      </c>
      <c r="X9" s="10"/>
    </row>
    <row r="10" ht="14.25" customHeight="1">
      <c r="A10" s="7">
        <v>44934.0</v>
      </c>
      <c r="B10" s="16"/>
      <c r="D10" s="7">
        <f>99.5+10.5</f>
        <v>110</v>
      </c>
      <c r="E10" s="9">
        <f>50+111+600+550+6</f>
        <v>1317</v>
      </c>
      <c r="F10" s="8">
        <f t="shared" si="1"/>
        <v>1427</v>
      </c>
      <c r="G10" s="7"/>
      <c r="L10" s="7"/>
      <c r="M10" s="17"/>
      <c r="N10" s="7"/>
      <c r="O10" s="12"/>
      <c r="T10" s="14"/>
      <c r="V10" s="7">
        <f>8729.13+6546.85+5269.09+15000.22+4581.04+6630.27+3599.23</f>
        <v>50355.83</v>
      </c>
      <c r="W10" s="10" t="s">
        <v>32</v>
      </c>
      <c r="X10" s="10"/>
    </row>
    <row r="11" ht="14.25" customHeight="1">
      <c r="A11" s="7">
        <v>44935.0</v>
      </c>
      <c r="B11" s="16"/>
      <c r="D11" s="9">
        <f>49.5+99.5+199.5+100+100</f>
        <v>548.5</v>
      </c>
      <c r="E11" s="7">
        <f>60+220+200+240+550+100+100+240+120+240+200+9.82</f>
        <v>2279.82</v>
      </c>
      <c r="F11" s="8">
        <f t="shared" si="1"/>
        <v>2828.32</v>
      </c>
      <c r="G11" s="7"/>
      <c r="L11" s="7"/>
      <c r="M11" s="17"/>
      <c r="N11" s="7"/>
      <c r="O11" s="12"/>
      <c r="V11" s="7">
        <f>967</f>
        <v>967</v>
      </c>
      <c r="W11" s="14" t="s">
        <v>33</v>
      </c>
      <c r="X11" s="10"/>
    </row>
    <row r="12" ht="14.25" customHeight="1">
      <c r="A12" s="7">
        <v>44936.0</v>
      </c>
      <c r="B12" s="16"/>
      <c r="D12" s="9">
        <f>99.5+1.5</f>
        <v>101</v>
      </c>
      <c r="E12" s="7">
        <f>110+1200+120+600+240+1000+1000</f>
        <v>4270</v>
      </c>
      <c r="F12" s="8">
        <f t="shared" si="1"/>
        <v>4371</v>
      </c>
      <c r="G12" s="7"/>
      <c r="L12" s="7"/>
      <c r="M12" s="17">
        <v>176115.0</v>
      </c>
      <c r="N12" s="7"/>
      <c r="O12" s="12">
        <f>218730+7185+37760+95000+128128</f>
        <v>486803</v>
      </c>
      <c r="V12" s="7">
        <f>12778.2+10454.89+871.24+67.07+804.8+983.64+55.89+819.7+8712.41+726.03+10648.5</f>
        <v>46922.37</v>
      </c>
      <c r="W12" s="10" t="s">
        <v>34</v>
      </c>
      <c r="X12" s="10"/>
    </row>
    <row r="13" ht="14.25" customHeight="1">
      <c r="A13" s="7">
        <v>44937.0</v>
      </c>
      <c r="B13" s="16" t="s">
        <v>35</v>
      </c>
      <c r="C13" s="9">
        <v>25000.0</v>
      </c>
      <c r="D13" s="9">
        <f>69.5+9.5+41184</f>
        <v>41263</v>
      </c>
      <c r="E13" s="7">
        <f>600+600+10000</f>
        <v>11200</v>
      </c>
      <c r="F13" s="8">
        <f t="shared" si="1"/>
        <v>77463</v>
      </c>
      <c r="G13" s="7"/>
      <c r="L13" s="7"/>
      <c r="M13" s="17"/>
      <c r="N13" s="7"/>
      <c r="O13" s="12"/>
      <c r="V13" s="7">
        <f>690</f>
        <v>690</v>
      </c>
      <c r="W13" s="18" t="s">
        <v>36</v>
      </c>
      <c r="X13" s="19"/>
    </row>
    <row r="14" ht="14.25" customHeight="1">
      <c r="A14" s="7">
        <v>44937.0</v>
      </c>
      <c r="B14" s="16" t="s">
        <v>37</v>
      </c>
      <c r="C14" s="7">
        <v>25000.0</v>
      </c>
      <c r="E14" s="7">
        <v>4910.0</v>
      </c>
      <c r="F14" s="8"/>
      <c r="G14" s="7"/>
      <c r="H14" s="7"/>
      <c r="I14" s="7"/>
      <c r="L14" s="7"/>
      <c r="M14" s="17"/>
      <c r="N14" s="7"/>
      <c r="O14" s="17"/>
      <c r="V14" s="7">
        <f>2500</f>
        <v>2500</v>
      </c>
      <c r="W14" s="14" t="s">
        <v>38</v>
      </c>
      <c r="X14" s="10"/>
    </row>
    <row r="15" ht="14.25" customHeight="1">
      <c r="A15" s="7">
        <v>44938.0</v>
      </c>
      <c r="B15" s="9" t="s">
        <v>39</v>
      </c>
      <c r="C15" s="11">
        <v>170385.0</v>
      </c>
      <c r="D15" s="9">
        <f>0.5+200+29.5</f>
        <v>230</v>
      </c>
      <c r="E15" s="7">
        <f>240+60+2000+4000</f>
        <v>6300</v>
      </c>
      <c r="F15" s="8"/>
      <c r="G15" s="7"/>
      <c r="H15" s="7"/>
      <c r="I15" s="7"/>
      <c r="L15" s="7"/>
      <c r="M15" s="17"/>
      <c r="N15" s="7"/>
      <c r="O15" s="17"/>
      <c r="V15" s="7">
        <f>500+500</f>
        <v>1000</v>
      </c>
      <c r="W15" s="10" t="s">
        <v>40</v>
      </c>
      <c r="X15" s="10"/>
    </row>
    <row r="16" ht="14.25" customHeight="1">
      <c r="A16" s="7">
        <v>44939.0</v>
      </c>
      <c r="D16" s="9">
        <f>4999.5+149.5+4950+4950+4950+4950+780+2537.5</f>
        <v>28266.5</v>
      </c>
      <c r="E16" s="7">
        <f>500+5600+1200+220+120+550+1200+240+1964</f>
        <v>11594</v>
      </c>
      <c r="F16" s="8"/>
      <c r="G16" s="7"/>
      <c r="L16" s="7"/>
      <c r="M16" s="17"/>
      <c r="N16" s="7"/>
      <c r="O16" s="17">
        <v>46000.0</v>
      </c>
      <c r="V16" s="7"/>
      <c r="W16" s="10"/>
      <c r="X16" s="10"/>
    </row>
    <row r="17" ht="14.25" customHeight="1">
      <c r="A17" s="7">
        <v>44940.0</v>
      </c>
      <c r="B17" s="7"/>
      <c r="C17" s="7"/>
      <c r="D17" s="7">
        <f>9.5+49.5+24.5+0.5+999.5</f>
        <v>1083.5</v>
      </c>
      <c r="E17" s="9">
        <f>120+240+120</f>
        <v>480</v>
      </c>
      <c r="F17" s="8"/>
      <c r="G17" s="7"/>
      <c r="H17" s="7"/>
      <c r="I17" s="7"/>
      <c r="K17" s="7"/>
      <c r="L17" s="7"/>
      <c r="M17" s="17"/>
      <c r="N17" s="7"/>
      <c r="O17" s="17"/>
      <c r="V17" s="7"/>
      <c r="W17" s="10"/>
      <c r="X17" s="10"/>
    </row>
    <row r="18" ht="14.25" customHeight="1">
      <c r="A18" s="7">
        <v>44941.0</v>
      </c>
      <c r="D18" s="9">
        <f>0.5+10.5+199.5</f>
        <v>210.5</v>
      </c>
      <c r="E18" s="7">
        <f>100+385+100+180+1200+5+220+120+110+100+100+60+120+120</f>
        <v>2920</v>
      </c>
      <c r="F18" s="8"/>
      <c r="G18" s="7"/>
      <c r="L18" s="7"/>
      <c r="M18" s="17"/>
      <c r="N18" s="7"/>
      <c r="O18" s="17"/>
      <c r="V18" s="7"/>
      <c r="W18" s="10"/>
      <c r="X18" s="10"/>
    </row>
    <row r="19" ht="14.25" customHeight="1">
      <c r="A19" s="7">
        <v>44942.0</v>
      </c>
      <c r="D19" s="7">
        <f>1145+200+9</f>
        <v>1354</v>
      </c>
      <c r="E19" s="9">
        <f>600+1+100+120+2400+199.5+220+100+0.5+1300</f>
        <v>5041</v>
      </c>
      <c r="F19" s="8"/>
      <c r="G19" s="7"/>
      <c r="L19" s="7"/>
      <c r="M19" s="17"/>
      <c r="N19" s="7"/>
      <c r="O19" s="17"/>
      <c r="V19" s="7"/>
      <c r="W19" s="10"/>
      <c r="X19" s="10"/>
    </row>
    <row r="20" ht="14.25" customHeight="1">
      <c r="A20" s="7">
        <v>44943.0</v>
      </c>
      <c r="D20" s="7">
        <f>199.5+19948.5+200</f>
        <v>20348</v>
      </c>
      <c r="E20" s="7">
        <f>240+1.2+2+5+100+2+2+2+5+120+120</f>
        <v>599.2</v>
      </c>
      <c r="F20" s="8"/>
      <c r="G20" s="7"/>
      <c r="L20" s="7"/>
      <c r="M20" s="17"/>
      <c r="N20" s="7"/>
      <c r="O20" s="17"/>
      <c r="V20" s="7"/>
      <c r="W20" s="10"/>
      <c r="X20" s="10"/>
    </row>
    <row r="21" ht="14.25" customHeight="1">
      <c r="A21" s="7"/>
      <c r="B21" s="16"/>
      <c r="D21" s="7"/>
      <c r="F21" s="8"/>
      <c r="G21" s="7"/>
      <c r="L21" s="7"/>
      <c r="M21" s="17">
        <f>24997+95400+41600+22906</f>
        <v>184903</v>
      </c>
      <c r="N21" s="7"/>
      <c r="O21" s="17">
        <f>24397+13312+50349.2+72089.5+27497.5+23006.1+40060</f>
        <v>250711.3</v>
      </c>
      <c r="V21" s="7"/>
      <c r="W21" s="10"/>
    </row>
    <row r="22" ht="14.25" customHeight="1">
      <c r="A22" s="7">
        <v>44944.0</v>
      </c>
      <c r="B22" s="16" t="s">
        <v>41</v>
      </c>
      <c r="C22" s="9">
        <v>109706.0</v>
      </c>
      <c r="D22" s="7">
        <f>0.5+9.5+0.5+0.5+499.5+1.5+299.5+1000+200+10000+200+1000+400</f>
        <v>13611.5</v>
      </c>
      <c r="E22" s="7">
        <f>120+840+50+240+196.4+2000+5106.4</f>
        <v>8552.8</v>
      </c>
      <c r="F22" s="8"/>
      <c r="G22" s="7"/>
      <c r="L22" s="7"/>
      <c r="M22" s="17"/>
      <c r="N22" s="7"/>
      <c r="O22" s="17">
        <f>15390</f>
        <v>15390</v>
      </c>
      <c r="V22" s="7">
        <f>10272</f>
        <v>10272</v>
      </c>
      <c r="W22" s="14" t="s">
        <v>42</v>
      </c>
    </row>
    <row r="23" ht="18.75" customHeight="1">
      <c r="A23" s="7">
        <v>44945.0</v>
      </c>
      <c r="B23" s="20"/>
      <c r="C23" s="7"/>
      <c r="D23" s="7">
        <f>9.5+499.5</f>
        <v>509</v>
      </c>
      <c r="E23" s="7">
        <f>110+120+240+200+240+100+6+200+120+240+50+120+1200.5+2612.12</f>
        <v>5558.62</v>
      </c>
      <c r="F23" s="8"/>
      <c r="G23" s="7"/>
      <c r="H23" s="7"/>
      <c r="L23" s="7"/>
      <c r="M23" s="17"/>
      <c r="N23" s="7"/>
      <c r="O23" s="17"/>
      <c r="V23" s="7">
        <f>2538</f>
        <v>2538</v>
      </c>
      <c r="W23" s="14" t="s">
        <v>43</v>
      </c>
    </row>
    <row r="24" ht="14.25" customHeight="1">
      <c r="A24" s="7"/>
      <c r="B24" s="20"/>
      <c r="C24" s="7"/>
      <c r="D24" s="7"/>
      <c r="F24" s="8"/>
      <c r="G24" s="7"/>
      <c r="L24" s="7"/>
      <c r="M24" s="17"/>
      <c r="N24" s="7"/>
      <c r="O24" s="17"/>
      <c r="V24" s="7">
        <f>374.52</f>
        <v>374.52</v>
      </c>
      <c r="W24" s="14" t="s">
        <v>44</v>
      </c>
    </row>
    <row r="25" ht="14.25" customHeight="1">
      <c r="A25" s="7">
        <v>44946.0</v>
      </c>
      <c r="B25" s="20"/>
      <c r="C25" s="7"/>
      <c r="D25" s="7">
        <f>4.5+149.5</f>
        <v>154</v>
      </c>
      <c r="E25" s="7">
        <f>149.5+240+110+240+2400+165+120+120+120+1.2+49.1+100</f>
        <v>3814.8</v>
      </c>
      <c r="F25" s="8"/>
      <c r="G25" s="7"/>
      <c r="L25" s="7"/>
      <c r="M25" s="7"/>
      <c r="N25" s="7"/>
      <c r="O25" s="17">
        <f>36850+42515+26966+37800</f>
        <v>144131</v>
      </c>
      <c r="V25" s="7">
        <f>600+2800</f>
        <v>3400</v>
      </c>
      <c r="W25" s="21" t="s">
        <v>45</v>
      </c>
    </row>
    <row r="26" ht="14.25" customHeight="1">
      <c r="A26" s="7">
        <v>44947.0</v>
      </c>
      <c r="B26" s="16"/>
      <c r="D26" s="7">
        <f>0.5+299.5</f>
        <v>300</v>
      </c>
      <c r="E26" s="7">
        <f>240+120+110+600+110+220</f>
        <v>1400</v>
      </c>
      <c r="F26" s="8"/>
      <c r="G26" s="7"/>
      <c r="H26" s="7"/>
      <c r="L26" s="7"/>
      <c r="M26" s="7"/>
      <c r="N26" s="7"/>
      <c r="O26" s="17"/>
      <c r="V26" s="7"/>
    </row>
    <row r="27" ht="14.25" customHeight="1">
      <c r="A27" s="7">
        <v>44948.0</v>
      </c>
      <c r="D27" s="7">
        <f>0.5+0.5</f>
        <v>1</v>
      </c>
      <c r="E27" s="9">
        <f>60+600+12+550+600+1200</f>
        <v>3022</v>
      </c>
      <c r="F27" s="8"/>
      <c r="G27" s="7"/>
      <c r="L27" s="7"/>
      <c r="M27" s="7"/>
      <c r="N27" s="7"/>
      <c r="O27" s="17"/>
      <c r="V27" s="7">
        <f>11543</f>
        <v>11543</v>
      </c>
      <c r="W27" s="21" t="s">
        <v>46</v>
      </c>
    </row>
    <row r="28" ht="14.25" customHeight="1">
      <c r="A28" s="7">
        <v>44949.0</v>
      </c>
      <c r="D28" s="7">
        <f>495+299.5+100+5000+400</f>
        <v>6294.5</v>
      </c>
      <c r="E28" s="9">
        <f>55+240+240+600+200+1200+600+120+1200+491</f>
        <v>4946</v>
      </c>
      <c r="F28" s="8"/>
      <c r="G28" s="7"/>
      <c r="L28" s="7"/>
      <c r="M28" s="7">
        <f>149975+100800+149710+150050+99975+99570+150200+150700</f>
        <v>1050980</v>
      </c>
      <c r="N28" s="7"/>
      <c r="O28" s="17">
        <f>60729</f>
        <v>60729</v>
      </c>
      <c r="V28" s="7"/>
    </row>
    <row r="29" ht="14.25" customHeight="1">
      <c r="A29" s="7">
        <v>44950.0</v>
      </c>
      <c r="D29" s="7">
        <f>0.5+0.5+197</f>
        <v>198</v>
      </c>
      <c r="E29" s="9">
        <f>600+600</f>
        <v>1200</v>
      </c>
      <c r="F29" s="8"/>
      <c r="G29" s="7"/>
      <c r="L29" s="7"/>
      <c r="M29" s="7"/>
      <c r="N29" s="7"/>
      <c r="O29" s="17"/>
      <c r="V29" s="7">
        <f>600</f>
        <v>600</v>
      </c>
      <c r="W29" s="21" t="s">
        <v>47</v>
      </c>
    </row>
    <row r="30" ht="14.25" customHeight="1">
      <c r="A30" s="7">
        <v>44951.0</v>
      </c>
      <c r="B30" s="7"/>
      <c r="C30" s="7"/>
      <c r="D30" s="7">
        <f>199.5+0.5+9.5+99.5+0.5+9.5+1200+6.5</f>
        <v>1525.5</v>
      </c>
      <c r="E30" s="7">
        <f>240+60+60+100+500+3633.4+589.2</f>
        <v>5182.6</v>
      </c>
      <c r="F30" s="8"/>
      <c r="G30" s="7"/>
      <c r="L30" s="7"/>
      <c r="M30" s="7"/>
      <c r="N30" s="7"/>
      <c r="O30" s="17"/>
      <c r="V30" s="7"/>
    </row>
    <row r="31" ht="14.25" customHeight="1">
      <c r="A31" s="7">
        <v>44952.0</v>
      </c>
      <c r="B31" s="16"/>
      <c r="D31" s="7">
        <f>99.5+199.5+34.5</f>
        <v>333.5</v>
      </c>
      <c r="E31" s="7">
        <f>240+240+24+60+220+440+500+120+600+300+9918.2</f>
        <v>12662.2</v>
      </c>
      <c r="F31" s="8"/>
      <c r="G31" s="7"/>
      <c r="H31" s="7"/>
      <c r="L31" s="7"/>
      <c r="M31" s="7"/>
      <c r="N31" s="7"/>
      <c r="O31" s="7"/>
      <c r="V31" s="9">
        <f>12500</f>
        <v>12500</v>
      </c>
      <c r="W31" s="21" t="s">
        <v>48</v>
      </c>
    </row>
    <row r="32" ht="14.25" customHeight="1">
      <c r="B32" s="16"/>
      <c r="D32" s="7"/>
      <c r="F32" s="8"/>
      <c r="G32" s="7"/>
      <c r="L32" s="7"/>
      <c r="M32" s="7"/>
      <c r="N32" s="7"/>
      <c r="O32" s="7"/>
    </row>
    <row r="33" ht="14.25" customHeight="1">
      <c r="A33" s="7">
        <v>44953.0</v>
      </c>
      <c r="B33" s="16"/>
      <c r="C33" s="7"/>
      <c r="D33" s="7">
        <f>499.5+0.5+50</f>
        <v>550</v>
      </c>
      <c r="E33" s="7">
        <f>120+200+220+2500+100+100+120+5500+60+240+1200+40+500+608.84</f>
        <v>11508.84</v>
      </c>
      <c r="F33" s="8"/>
      <c r="G33" s="7"/>
      <c r="L33" s="7"/>
      <c r="M33" s="7">
        <f>150050+150310</f>
        <v>300360</v>
      </c>
      <c r="N33" s="7"/>
    </row>
    <row r="34" ht="14.25" customHeight="1">
      <c r="A34" s="7">
        <v>44954.0</v>
      </c>
      <c r="B34" s="16"/>
      <c r="C34" s="7"/>
      <c r="D34" s="7">
        <f>99.5+0.5+0.5+4.5+249.5+199.5</f>
        <v>554</v>
      </c>
      <c r="E34" s="9">
        <f>120+100+60+120+100+60+50</f>
        <v>610</v>
      </c>
      <c r="F34" s="8"/>
      <c r="G34" s="7"/>
      <c r="H34" s="7"/>
      <c r="K34" s="7"/>
      <c r="L34" s="22"/>
      <c r="M34" s="7"/>
      <c r="N34" s="7"/>
    </row>
    <row r="35" ht="14.25" customHeight="1">
      <c r="B35" s="16"/>
      <c r="C35" s="7"/>
      <c r="D35" s="7"/>
      <c r="F35" s="8"/>
      <c r="G35" s="7"/>
      <c r="L35" s="7"/>
      <c r="M35" s="7"/>
      <c r="N35" s="7"/>
    </row>
    <row r="36" ht="14.25" customHeight="1">
      <c r="A36" s="7">
        <v>44955.0</v>
      </c>
      <c r="B36" s="16"/>
      <c r="D36" s="7"/>
      <c r="E36" s="9">
        <f>60+110+110</f>
        <v>280</v>
      </c>
      <c r="F36" s="8"/>
      <c r="G36" s="7"/>
      <c r="L36" s="7"/>
      <c r="M36" s="7"/>
      <c r="N36" s="7"/>
    </row>
    <row r="37" ht="14.25" customHeight="1">
      <c r="A37" s="7">
        <v>44956.0</v>
      </c>
      <c r="B37" s="16"/>
      <c r="D37" s="7">
        <f>100</f>
        <v>100</v>
      </c>
      <c r="E37" s="9">
        <f>120+60+120+1000+6481.2+10000+294.6+1178.4+33760.18</f>
        <v>53014.38</v>
      </c>
      <c r="F37" s="8"/>
      <c r="G37" s="7"/>
      <c r="L37" s="7"/>
      <c r="M37" s="7"/>
      <c r="N37" s="7"/>
    </row>
    <row r="38" ht="14.25" customHeight="1">
      <c r="A38" s="7">
        <v>44957.0</v>
      </c>
      <c r="B38" s="16" t="s">
        <v>49</v>
      </c>
      <c r="C38" s="9">
        <v>4500.0</v>
      </c>
      <c r="D38" s="7">
        <f>99000+0.5+9.5</f>
        <v>99010</v>
      </c>
      <c r="E38" s="7">
        <f>100+1200+2+2+360+58.92</f>
        <v>1722.92</v>
      </c>
      <c r="F38" s="8"/>
      <c r="G38" s="7">
        <v>19.73</v>
      </c>
      <c r="H38" s="7"/>
      <c r="K38" s="7"/>
      <c r="L38" s="7">
        <v>1562940.0</v>
      </c>
      <c r="M38" s="9">
        <f>99875+150110+150590</f>
        <v>400575</v>
      </c>
    </row>
    <row r="39" ht="14.25" customHeight="1">
      <c r="A39" s="7"/>
      <c r="B39" s="16"/>
      <c r="F39" s="8">
        <f t="shared" ref="F39:F40" si="2">SUBTOTAL(9,C39:E39)</f>
        <v>0</v>
      </c>
      <c r="G39" s="7">
        <v>0.66</v>
      </c>
    </row>
    <row r="40" ht="14.25" customHeight="1">
      <c r="A40" s="7"/>
      <c r="B40" s="16"/>
      <c r="F40" s="8">
        <f t="shared" si="2"/>
        <v>0</v>
      </c>
    </row>
    <row r="41" ht="14.25" customHeight="1">
      <c r="A41" s="23" t="s">
        <v>50</v>
      </c>
      <c r="B41" s="24"/>
      <c r="C41" s="24">
        <f t="shared" ref="C41:V41" si="3">SUM(C3:C40)</f>
        <v>707323.88</v>
      </c>
      <c r="D41" s="24">
        <f t="shared" si="3"/>
        <v>297196</v>
      </c>
      <c r="E41" s="24">
        <f t="shared" si="3"/>
        <v>330397.6</v>
      </c>
      <c r="F41" s="24">
        <f t="shared" si="3"/>
        <v>497381.6</v>
      </c>
      <c r="G41" s="24">
        <f t="shared" si="3"/>
        <v>41.43</v>
      </c>
      <c r="H41" s="24">
        <f t="shared" si="3"/>
        <v>0</v>
      </c>
      <c r="I41" s="24">
        <f t="shared" si="3"/>
        <v>0</v>
      </c>
      <c r="J41" s="24">
        <f t="shared" si="3"/>
        <v>0</v>
      </c>
      <c r="K41" s="24">
        <f t="shared" si="3"/>
        <v>0</v>
      </c>
      <c r="L41" s="24">
        <f t="shared" si="3"/>
        <v>2138776.95</v>
      </c>
      <c r="M41" s="24">
        <f t="shared" si="3"/>
        <v>2113133</v>
      </c>
      <c r="N41" s="24">
        <f t="shared" si="3"/>
        <v>0</v>
      </c>
      <c r="O41" s="24">
        <f t="shared" si="3"/>
        <v>1003764.3</v>
      </c>
      <c r="P41" s="24">
        <f t="shared" si="3"/>
        <v>0</v>
      </c>
      <c r="Q41" s="24">
        <f t="shared" si="3"/>
        <v>0</v>
      </c>
      <c r="R41" s="24">
        <f t="shared" si="3"/>
        <v>0</v>
      </c>
      <c r="S41" s="24">
        <f t="shared" si="3"/>
        <v>0</v>
      </c>
      <c r="T41" s="24">
        <f t="shared" si="3"/>
        <v>0</v>
      </c>
      <c r="U41" s="24">
        <f t="shared" si="3"/>
        <v>0</v>
      </c>
      <c r="V41" s="24">
        <f t="shared" si="3"/>
        <v>221794.29</v>
      </c>
      <c r="W41" s="25"/>
      <c r="X41" s="25"/>
      <c r="Y41" s="25"/>
      <c r="Z41" s="25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13.29"/>
    <col customWidth="1" min="11" max="11" width="29.43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8.71"/>
    <col customWidth="1" min="19" max="19" width="9.43"/>
    <col customWidth="1" min="20" max="20" width="8.71"/>
    <col customWidth="1" min="21" max="21" width="11.57"/>
    <col customWidth="1" min="22" max="22" width="89.86"/>
    <col customWidth="1" min="23" max="25" width="8.71"/>
  </cols>
  <sheetData>
    <row r="1" ht="32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S1" s="3"/>
      <c r="T1" s="4"/>
      <c r="U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68" t="s">
        <v>294</v>
      </c>
      <c r="P2" s="2" t="s">
        <v>139</v>
      </c>
      <c r="Q2" s="2" t="s">
        <v>212</v>
      </c>
      <c r="R2" s="2" t="s">
        <v>141</v>
      </c>
      <c r="S2" s="2" t="s">
        <v>142</v>
      </c>
      <c r="T2" s="2" t="s">
        <v>23</v>
      </c>
      <c r="U2" s="2"/>
    </row>
    <row r="3" ht="14.25" customHeight="1">
      <c r="A3" s="34"/>
      <c r="B3" s="10"/>
      <c r="C3" s="19"/>
      <c r="D3" s="19"/>
      <c r="E3" s="19"/>
      <c r="F3" s="19"/>
      <c r="G3" s="19"/>
      <c r="H3" s="69"/>
      <c r="I3" s="69"/>
      <c r="J3" s="69"/>
      <c r="K3" s="70"/>
      <c r="L3" s="69"/>
      <c r="M3" s="69"/>
      <c r="N3" s="69"/>
      <c r="O3" s="69"/>
      <c r="P3" s="69"/>
      <c r="Q3" s="69"/>
      <c r="R3" s="69"/>
      <c r="S3" s="69"/>
      <c r="T3" s="69"/>
      <c r="U3" s="71">
        <f> 5+5+5+5+5+5+5+5+5+5+5+5+5+15+5+5+5+5+5+5+5+30.55+5+5+5+5+25.45+5+5+5+54+5+5+5+5+5+5+5+5+15+5+15+5+5+5+5+5+5+5+15+5+15+5+5+5+5+5+5+5+5+5+5+5+5+5+5+5+5+5+5+5+5+5+5+15+5+5+5+5+5+5+5+5+5+5+5+5+5+5+5+5+15+5+5+5+5+5+5+56</f>
        <v>711</v>
      </c>
      <c r="V3" s="10" t="s">
        <v>24</v>
      </c>
      <c r="W3" s="19"/>
      <c r="X3" s="19"/>
      <c r="Y3" s="19"/>
    </row>
    <row r="4" ht="14.25" customHeight="1">
      <c r="A4" s="34">
        <v>44936.0</v>
      </c>
      <c r="B4" s="10"/>
      <c r="C4" s="40"/>
      <c r="D4" s="19">
        <f>1435.64+547.8</f>
        <v>1983.44</v>
      </c>
      <c r="E4" s="19"/>
      <c r="F4" s="19"/>
      <c r="G4" s="1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>
        <f>600+600</f>
        <v>1200</v>
      </c>
      <c r="V4" s="26" t="s">
        <v>47</v>
      </c>
      <c r="W4" s="19"/>
      <c r="X4" s="19"/>
      <c r="Y4" s="19"/>
    </row>
    <row r="5" ht="14.25" customHeight="1">
      <c r="A5" s="34">
        <v>44936.0</v>
      </c>
      <c r="B5" s="10"/>
      <c r="C5" s="40"/>
      <c r="D5" s="19">
        <f>49.5+600</f>
        <v>649.5</v>
      </c>
      <c r="E5" s="19"/>
      <c r="F5" s="19"/>
      <c r="G5" s="1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>
        <f>4155.61+2910.33+2133.17</f>
        <v>9199.11</v>
      </c>
      <c r="V5" s="26" t="s">
        <v>183</v>
      </c>
      <c r="W5" s="19"/>
      <c r="X5" s="19"/>
      <c r="Y5" s="19"/>
    </row>
    <row r="6" ht="14.25" customHeight="1">
      <c r="A6" s="34">
        <v>44967.0</v>
      </c>
      <c r="B6" s="10" t="s">
        <v>181</v>
      </c>
      <c r="C6" s="40">
        <f>1423.9+2651.4</f>
        <v>4075.3</v>
      </c>
      <c r="D6" s="19">
        <f>8425.83+1478.11</f>
        <v>9903.94</v>
      </c>
      <c r="E6" s="19"/>
      <c r="F6" s="19"/>
      <c r="G6" s="1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>
        <f>2556.6</f>
        <v>2556.6</v>
      </c>
      <c r="V6" s="26" t="s">
        <v>295</v>
      </c>
      <c r="W6" s="19"/>
      <c r="X6" s="19"/>
      <c r="Y6" s="19"/>
    </row>
    <row r="7" ht="14.25" customHeight="1">
      <c r="A7" s="34">
        <v>44967.0</v>
      </c>
      <c r="B7" s="47" t="s">
        <v>240</v>
      </c>
      <c r="C7" s="72">
        <v>4680.78</v>
      </c>
      <c r="D7" s="19">
        <f>49.5</f>
        <v>49.5</v>
      </c>
      <c r="E7" s="19"/>
      <c r="F7" s="19"/>
      <c r="G7" s="19"/>
      <c r="H7" s="69"/>
      <c r="I7" s="69"/>
      <c r="J7" s="69"/>
      <c r="K7" s="69"/>
      <c r="L7" s="69"/>
      <c r="M7" s="69">
        <f>167400</f>
        <v>167400</v>
      </c>
      <c r="N7" s="69"/>
      <c r="O7" s="69"/>
      <c r="P7" s="69"/>
      <c r="Q7" s="69"/>
      <c r="R7" s="69"/>
      <c r="S7" s="69"/>
      <c r="T7" s="69"/>
      <c r="U7" s="69">
        <f>637</f>
        <v>637</v>
      </c>
      <c r="V7" s="14" t="s">
        <v>296</v>
      </c>
      <c r="W7" s="19"/>
      <c r="X7" s="19"/>
      <c r="Y7" s="19"/>
    </row>
    <row r="8" ht="21.0" customHeight="1">
      <c r="A8" s="34">
        <v>44995.0</v>
      </c>
      <c r="B8" s="73"/>
      <c r="C8" s="18"/>
      <c r="D8" s="19">
        <f>72.49+10823.57+125.8+5439</f>
        <v>16460.86</v>
      </c>
      <c r="E8" s="19"/>
      <c r="F8" s="19"/>
      <c r="G8" s="19"/>
      <c r="H8" s="69"/>
      <c r="I8" s="69"/>
      <c r="J8" s="69"/>
      <c r="K8" s="69"/>
      <c r="L8" s="69"/>
      <c r="M8" s="69">
        <f>46337.99+24994</f>
        <v>71331.99</v>
      </c>
      <c r="N8" s="69"/>
      <c r="O8" s="69"/>
      <c r="P8" s="69"/>
      <c r="Q8" s="69">
        <f>13300</f>
        <v>13300</v>
      </c>
      <c r="R8" s="69"/>
      <c r="S8" s="69"/>
      <c r="T8" s="69"/>
      <c r="U8" s="69">
        <f>4560+11760</f>
        <v>16320</v>
      </c>
      <c r="V8" s="26" t="s">
        <v>65</v>
      </c>
      <c r="W8" s="19"/>
      <c r="X8" s="19"/>
      <c r="Y8" s="19"/>
    </row>
    <row r="9" ht="14.25" customHeight="1">
      <c r="A9" s="34">
        <v>44995.0</v>
      </c>
      <c r="B9" s="16"/>
      <c r="C9" s="19"/>
      <c r="D9" s="19">
        <f>0.5+0.5+199.5+3021+43.5+300</f>
        <v>3565</v>
      </c>
      <c r="E9" s="19">
        <f>60</f>
        <v>60</v>
      </c>
      <c r="F9" s="19"/>
      <c r="G9" s="19"/>
      <c r="H9" s="69"/>
      <c r="I9" s="69"/>
      <c r="J9" s="69"/>
      <c r="K9" s="69"/>
      <c r="L9" s="69"/>
      <c r="M9" s="69"/>
      <c r="N9" s="69"/>
      <c r="O9" s="69"/>
      <c r="P9" s="69"/>
      <c r="Q9" s="69">
        <f>17773.02+1481.09</f>
        <v>19254.11</v>
      </c>
      <c r="R9" s="69"/>
      <c r="S9" s="69"/>
      <c r="T9" s="69"/>
      <c r="U9" s="69">
        <f>405.02</f>
        <v>405.02</v>
      </c>
      <c r="V9" s="26" t="s">
        <v>44</v>
      </c>
      <c r="W9" s="19"/>
      <c r="X9" s="19"/>
      <c r="Y9" s="19"/>
    </row>
    <row r="10" ht="14.25" customHeight="1">
      <c r="A10" s="34">
        <v>45026.0</v>
      </c>
      <c r="B10" s="16"/>
      <c r="C10" s="19"/>
      <c r="D10" s="19">
        <f>1445.13</f>
        <v>1445.13</v>
      </c>
      <c r="E10" s="19"/>
      <c r="F10" s="19"/>
      <c r="G10" s="1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>
        <f>432.97</f>
        <v>432.97</v>
      </c>
      <c r="V10" s="14" t="s">
        <v>297</v>
      </c>
      <c r="W10" s="19"/>
      <c r="X10" s="19"/>
      <c r="Y10" s="19"/>
    </row>
    <row r="11" ht="14.25" customHeight="1">
      <c r="A11" s="34">
        <v>45026.0</v>
      </c>
      <c r="B11" s="73" t="s">
        <v>298</v>
      </c>
      <c r="C11" s="19">
        <f>75000</f>
        <v>75000</v>
      </c>
      <c r="D11" s="19">
        <f>0.5</f>
        <v>0.5</v>
      </c>
      <c r="E11" s="19"/>
      <c r="F11" s="19"/>
      <c r="G11" s="19"/>
      <c r="H11" s="69"/>
      <c r="I11" s="69"/>
      <c r="J11" s="69"/>
      <c r="K11" s="69"/>
      <c r="L11" s="69"/>
      <c r="M11" s="69"/>
      <c r="N11" s="69"/>
      <c r="O11" s="69"/>
      <c r="P11" s="69"/>
      <c r="Q11" s="69">
        <f>3000+79484.89+3000+676+1231.2</f>
        <v>87392.09</v>
      </c>
      <c r="R11" s="69"/>
      <c r="S11" s="69"/>
      <c r="T11" s="69"/>
      <c r="U11" s="69">
        <f>888</f>
        <v>888</v>
      </c>
      <c r="V11" s="18" t="s">
        <v>299</v>
      </c>
      <c r="W11" s="19"/>
      <c r="X11" s="19"/>
      <c r="Y11" s="19"/>
    </row>
    <row r="12" ht="14.25" customHeight="1">
      <c r="A12" s="34">
        <v>45056.0</v>
      </c>
      <c r="B12" s="73"/>
      <c r="C12" s="19"/>
      <c r="D12" s="19">
        <f>200+5856.52+2389.03+410.42+2488.56</f>
        <v>11344.53</v>
      </c>
      <c r="E12" s="19"/>
      <c r="F12" s="19"/>
      <c r="G12" s="1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>
        <f>14200</f>
        <v>14200</v>
      </c>
      <c r="V12" s="21" t="s">
        <v>300</v>
      </c>
      <c r="W12" s="19"/>
      <c r="X12" s="19"/>
      <c r="Y12" s="19"/>
    </row>
    <row r="13" ht="14.25" customHeight="1">
      <c r="A13" s="34">
        <v>45056.0</v>
      </c>
      <c r="B13" s="45" t="s">
        <v>26</v>
      </c>
      <c r="C13" s="74">
        <v>223.64</v>
      </c>
      <c r="D13" s="19">
        <f>9.5+0.5</f>
        <v>10</v>
      </c>
      <c r="E13" s="19"/>
      <c r="F13" s="19"/>
      <c r="G13" s="1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>
        <f>13119.89+4363.9+10022.25+10006.15+20004.25+12000.13+3409.17+3636.18+19000.41+9016+9092.47+10022.25</f>
        <v>123693.05</v>
      </c>
      <c r="V13" s="14" t="s">
        <v>31</v>
      </c>
      <c r="W13" s="19"/>
      <c r="X13" s="19"/>
      <c r="Y13" s="19"/>
    </row>
    <row r="14" ht="14.25" customHeight="1">
      <c r="A14" s="34">
        <v>45087.0</v>
      </c>
      <c r="B14" s="16" t="s">
        <v>181</v>
      </c>
      <c r="C14" s="19">
        <f>24550</f>
        <v>24550</v>
      </c>
      <c r="D14" s="19">
        <f>2681.39+1470</f>
        <v>4151.39</v>
      </c>
      <c r="E14" s="19"/>
      <c r="F14" s="19"/>
      <c r="G14" s="1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>
        <f>9278.43+7046.16+12000.13+5881.33+9016+10006.15+10022.25+10022.25+5090.82+20004.25+8000.09+19000.41+12501.65</f>
        <v>137869.92</v>
      </c>
      <c r="V14" s="10" t="s">
        <v>32</v>
      </c>
      <c r="W14" s="19"/>
      <c r="X14" s="19"/>
      <c r="Y14" s="19"/>
    </row>
    <row r="15" ht="14.25" customHeight="1">
      <c r="A15" s="34">
        <v>45087.0</v>
      </c>
      <c r="B15" s="73"/>
      <c r="C15" s="19"/>
      <c r="D15" s="19">
        <f>9.5+499.5+300+499.5+554.7+6526.8</f>
        <v>8390</v>
      </c>
      <c r="E15" s="19"/>
      <c r="F15" s="19"/>
      <c r="G15" s="19"/>
      <c r="H15" s="69">
        <f>794441+156550.5+132483.5</f>
        <v>1083475</v>
      </c>
      <c r="I15" s="69"/>
      <c r="J15" s="69"/>
      <c r="K15" s="69"/>
      <c r="L15" s="69"/>
      <c r="M15" s="69"/>
      <c r="N15" s="69"/>
      <c r="O15" s="69"/>
      <c r="P15" s="69"/>
      <c r="Q15" s="69">
        <f>3600</f>
        <v>3600</v>
      </c>
      <c r="R15" s="69"/>
      <c r="S15" s="69"/>
      <c r="T15" s="69"/>
      <c r="U15" s="69">
        <f>2933.64+3585.56+244.47+12546.3+1045.53+1014.84+12178.08+14884.32+15334.44+3650.22+4461.38+304.19+11622.6+968.55+15555.24+14205.4+19011.96+1296.27</f>
        <v>134842.99</v>
      </c>
      <c r="V15" s="14" t="s">
        <v>34</v>
      </c>
      <c r="W15" s="19"/>
      <c r="X15" s="19"/>
      <c r="Y15" s="19"/>
    </row>
    <row r="16" ht="14.25" customHeight="1">
      <c r="A16" s="34">
        <v>45117.0</v>
      </c>
      <c r="B16" s="10"/>
      <c r="C16" s="7"/>
      <c r="D16" s="19">
        <f>2344.78+537.22</f>
        <v>2882</v>
      </c>
      <c r="E16" s="19"/>
      <c r="F16" s="19"/>
      <c r="G16" s="1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>
        <f>4000+60566.68+3000</f>
        <v>67566.68</v>
      </c>
      <c r="V16" s="26" t="s">
        <v>27</v>
      </c>
      <c r="W16" s="19"/>
      <c r="X16" s="19"/>
      <c r="Y16" s="19"/>
    </row>
    <row r="17" ht="14.25" customHeight="1">
      <c r="A17" s="34">
        <v>45117.0</v>
      </c>
      <c r="B17" s="10"/>
      <c r="C17" s="7"/>
      <c r="D17" s="19">
        <f>1000+50</f>
        <v>1050</v>
      </c>
      <c r="E17" s="19"/>
      <c r="F17" s="19"/>
      <c r="G17" s="1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>
        <f>5000</f>
        <v>5000</v>
      </c>
      <c r="V17" s="14" t="s">
        <v>301</v>
      </c>
      <c r="W17" s="19"/>
      <c r="X17" s="19"/>
      <c r="Y17" s="19"/>
    </row>
    <row r="18" ht="14.25" customHeight="1">
      <c r="A18" s="34">
        <v>45148.0</v>
      </c>
      <c r="B18" s="16"/>
      <c r="C18" s="19"/>
      <c r="D18" s="19">
        <f>1945.18+183.11+192.7</f>
        <v>2320.99</v>
      </c>
      <c r="E18" s="19"/>
      <c r="F18" s="19"/>
      <c r="G18" s="19"/>
      <c r="H18" s="69"/>
      <c r="I18" s="69"/>
      <c r="J18" s="69"/>
      <c r="K18" s="69"/>
      <c r="L18" s="69"/>
      <c r="M18" s="69"/>
      <c r="N18" s="69"/>
      <c r="O18" s="69"/>
      <c r="P18" s="69"/>
      <c r="Q18" s="69">
        <f>1055</f>
        <v>1055</v>
      </c>
      <c r="R18" s="69"/>
      <c r="S18" s="69"/>
      <c r="T18" s="69"/>
      <c r="U18" s="69">
        <f>7146</f>
        <v>7146</v>
      </c>
      <c r="V18" s="26" t="s">
        <v>74</v>
      </c>
      <c r="W18" s="19"/>
      <c r="X18" s="19"/>
      <c r="Y18" s="19"/>
    </row>
    <row r="19" ht="14.25" customHeight="1">
      <c r="A19" s="34">
        <v>45148.0</v>
      </c>
      <c r="B19" s="16"/>
      <c r="C19" s="19"/>
      <c r="D19" s="19">
        <f>9.5+10.5+9.5+200</f>
        <v>229.5</v>
      </c>
      <c r="E19" s="19"/>
      <c r="F19" s="19"/>
      <c r="G19" s="1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>
        <f>10500+196700+10500</f>
        <v>217700</v>
      </c>
      <c r="V19" s="26" t="s">
        <v>66</v>
      </c>
      <c r="W19" s="19"/>
      <c r="X19" s="19"/>
      <c r="Y19" s="19"/>
    </row>
    <row r="20" ht="14.25" customHeight="1">
      <c r="A20" s="34">
        <v>45179.0</v>
      </c>
      <c r="B20" s="16"/>
      <c r="C20" s="19"/>
      <c r="D20" s="19">
        <f>500+1891.87</f>
        <v>2391.87</v>
      </c>
      <c r="E20" s="19"/>
      <c r="F20" s="19"/>
      <c r="G20" s="1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>
        <f>16500+10000+17204+16500</f>
        <v>60204</v>
      </c>
      <c r="V20" s="26" t="s">
        <v>90</v>
      </c>
      <c r="W20" s="19"/>
      <c r="X20" s="19"/>
      <c r="Y20" s="19"/>
    </row>
    <row r="21" ht="14.25" customHeight="1">
      <c r="A21" s="34">
        <v>45179.0</v>
      </c>
      <c r="B21" s="7"/>
      <c r="C21" s="19"/>
      <c r="D21" s="19">
        <f>99.5+386127.14</f>
        <v>386226.64</v>
      </c>
      <c r="E21" s="19"/>
      <c r="F21" s="19"/>
      <c r="G21" s="1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>
        <f>24375+24375</f>
        <v>48750</v>
      </c>
      <c r="V21" s="26" t="s">
        <v>185</v>
      </c>
      <c r="W21" s="19"/>
      <c r="X21" s="19"/>
      <c r="Y21" s="19"/>
    </row>
    <row r="22" ht="14.25" customHeight="1">
      <c r="A22" s="34">
        <v>45209.0</v>
      </c>
      <c r="B22" s="16"/>
      <c r="C22" s="19"/>
      <c r="D22" s="19">
        <f>794.39</f>
        <v>794.39</v>
      </c>
      <c r="E22" s="19"/>
      <c r="F22" s="19"/>
      <c r="G22" s="1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>
        <f>2779.6</f>
        <v>2779.6</v>
      </c>
      <c r="V22" s="26" t="s">
        <v>189</v>
      </c>
      <c r="W22" s="19"/>
      <c r="X22" s="19"/>
      <c r="Y22" s="19"/>
    </row>
    <row r="23" ht="14.25" customHeight="1">
      <c r="A23" s="34">
        <v>45209.0</v>
      </c>
      <c r="B23" s="7"/>
      <c r="C23" s="19"/>
      <c r="D23" s="19">
        <f>1.5+9.5+300</f>
        <v>311</v>
      </c>
      <c r="E23" s="19"/>
      <c r="F23" s="19"/>
      <c r="G23" s="19"/>
      <c r="H23" s="69"/>
      <c r="I23" s="69"/>
      <c r="J23" s="69"/>
      <c r="K23" s="69"/>
      <c r="L23" s="69">
        <f>6305</f>
        <v>6305</v>
      </c>
      <c r="M23" s="69">
        <f>75000+19580+13448</f>
        <v>108028</v>
      </c>
      <c r="N23" s="69"/>
      <c r="O23" s="69"/>
      <c r="P23" s="69"/>
      <c r="Q23" s="69">
        <f>19999</f>
        <v>19999</v>
      </c>
      <c r="R23" s="69"/>
      <c r="S23" s="69"/>
      <c r="T23" s="69"/>
      <c r="U23" s="69">
        <f>15780+19025</f>
        <v>34805</v>
      </c>
      <c r="V23" s="26" t="s">
        <v>73</v>
      </c>
      <c r="W23" s="19"/>
      <c r="X23" s="19"/>
      <c r="Y23" s="19"/>
    </row>
    <row r="24" ht="14.25" customHeight="1">
      <c r="A24" s="34">
        <v>45240.0</v>
      </c>
      <c r="B24" s="9" t="s">
        <v>302</v>
      </c>
      <c r="C24" s="19">
        <f>50000</f>
        <v>50000</v>
      </c>
      <c r="D24" s="19">
        <f>1388.6</f>
        <v>1388.6</v>
      </c>
      <c r="E24" s="19"/>
      <c r="F24" s="19"/>
      <c r="G24" s="1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>
        <f>90+1480</f>
        <v>1570</v>
      </c>
      <c r="V24" s="26" t="s">
        <v>29</v>
      </c>
      <c r="W24" s="19"/>
      <c r="X24" s="19"/>
      <c r="Y24" s="19"/>
    </row>
    <row r="25" ht="14.25" customHeight="1">
      <c r="A25" s="34">
        <v>45240.0</v>
      </c>
      <c r="B25" s="10" t="s">
        <v>181</v>
      </c>
      <c r="C25" s="19">
        <f>491</f>
        <v>491</v>
      </c>
      <c r="D25" s="19">
        <f>500+1500</f>
        <v>2000</v>
      </c>
      <c r="E25" s="19"/>
      <c r="F25" s="19"/>
      <c r="G25" s="19"/>
      <c r="H25" s="69">
        <f>706789</f>
        <v>706789</v>
      </c>
      <c r="I25" s="69"/>
      <c r="J25" s="69"/>
      <c r="K25" s="69">
        <f>389927.21</f>
        <v>389927.21</v>
      </c>
      <c r="L25" s="69">
        <f>34400</f>
        <v>34400</v>
      </c>
      <c r="M25" s="69"/>
      <c r="N25" s="69"/>
      <c r="O25" s="69"/>
      <c r="P25" s="69"/>
      <c r="Q25" s="69"/>
      <c r="R25" s="69"/>
      <c r="S25" s="69"/>
      <c r="T25" s="69"/>
      <c r="U25" s="69">
        <f>427.5+285+190+47.5</f>
        <v>950</v>
      </c>
      <c r="V25" s="21" t="s">
        <v>303</v>
      </c>
      <c r="W25" s="19"/>
      <c r="X25" s="19"/>
      <c r="Y25" s="19"/>
    </row>
    <row r="26" ht="14.25" customHeight="1">
      <c r="A26" s="34">
        <v>45270.0</v>
      </c>
      <c r="B26" s="7" t="s">
        <v>181</v>
      </c>
      <c r="C26" s="7">
        <f>982</f>
        <v>982</v>
      </c>
      <c r="D26" s="19">
        <f>500+3477.27+480.58+469.47</f>
        <v>4927.32</v>
      </c>
      <c r="E26" s="19"/>
      <c r="F26" s="19"/>
      <c r="G26" s="1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>
        <f>2292.6</f>
        <v>2292.6</v>
      </c>
      <c r="V26" s="21" t="s">
        <v>304</v>
      </c>
      <c r="W26" s="19"/>
      <c r="X26" s="19"/>
      <c r="Y26" s="19"/>
    </row>
    <row r="27" ht="14.25" customHeight="1">
      <c r="A27" s="34">
        <v>45270.0</v>
      </c>
      <c r="B27" s="7"/>
      <c r="C27" s="7"/>
      <c r="D27" s="19">
        <f>9.5+10.5+0.5+4.5+100</f>
        <v>125</v>
      </c>
      <c r="E27" s="19">
        <f>3300</f>
        <v>3300</v>
      </c>
      <c r="F27" s="19"/>
      <c r="G27" s="1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>
        <f>106000</f>
        <v>106000</v>
      </c>
      <c r="V27" s="14" t="s">
        <v>305</v>
      </c>
      <c r="W27" s="19"/>
      <c r="X27" s="19"/>
      <c r="Y27" s="19"/>
    </row>
    <row r="28" ht="14.25" customHeight="1">
      <c r="A28" s="35" t="s">
        <v>306</v>
      </c>
      <c r="B28" s="13"/>
      <c r="C28" s="7"/>
      <c r="D28" s="19">
        <f>500+4167.36+869.06+218.71+1528.8</f>
        <v>7283.93</v>
      </c>
      <c r="E28" s="19"/>
      <c r="F28" s="19"/>
      <c r="G28" s="1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>
        <f>19999</f>
        <v>19999</v>
      </c>
      <c r="V28" s="21" t="s">
        <v>307</v>
      </c>
      <c r="W28" s="19"/>
      <c r="X28" s="19"/>
      <c r="Y28" s="19"/>
    </row>
    <row r="29" ht="14.25" customHeight="1">
      <c r="A29" s="35" t="s">
        <v>306</v>
      </c>
      <c r="B29" s="16" t="s">
        <v>308</v>
      </c>
      <c r="C29" s="7">
        <f>136840</f>
        <v>136840</v>
      </c>
      <c r="D29" s="19">
        <f>2000+149.5+500+2200</f>
        <v>4849.5</v>
      </c>
      <c r="E29" s="19"/>
      <c r="F29" s="19"/>
      <c r="G29" s="1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>
        <f>5779.8</f>
        <v>5779.8</v>
      </c>
      <c r="V29" s="21" t="s">
        <v>309</v>
      </c>
      <c r="W29" s="19"/>
      <c r="X29" s="19"/>
      <c r="Y29" s="19"/>
    </row>
    <row r="30" ht="14.25" customHeight="1">
      <c r="A30" s="35" t="s">
        <v>310</v>
      </c>
      <c r="B30" s="7"/>
      <c r="C30" s="7"/>
      <c r="D30" s="19">
        <f>71770+3554.33+767.54+375.8</f>
        <v>76467.67</v>
      </c>
      <c r="E30" s="19"/>
      <c r="F30" s="19"/>
      <c r="G30" s="1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>
        <f>36000+15000+42150</f>
        <v>93150</v>
      </c>
      <c r="V30" s="26" t="s">
        <v>54</v>
      </c>
      <c r="W30" s="19"/>
      <c r="X30" s="19"/>
      <c r="Y30" s="19"/>
    </row>
    <row r="31" ht="14.25" customHeight="1">
      <c r="A31" s="35" t="s">
        <v>310</v>
      </c>
      <c r="B31" s="7"/>
      <c r="C31" s="7"/>
      <c r="D31" s="19">
        <f>49.5+24.5+0.5+1277+1600</f>
        <v>2951.5</v>
      </c>
      <c r="E31" s="19">
        <f>720+600</f>
        <v>1320</v>
      </c>
      <c r="F31" s="19"/>
      <c r="G31" s="19"/>
      <c r="H31" s="69"/>
      <c r="I31" s="69"/>
      <c r="J31" s="69"/>
      <c r="K31" s="69">
        <f>405999.98</f>
        <v>405999.98</v>
      </c>
      <c r="L31" s="69"/>
      <c r="M31" s="69"/>
      <c r="N31" s="69"/>
      <c r="O31" s="69"/>
      <c r="P31" s="69"/>
      <c r="Q31" s="69"/>
      <c r="R31" s="69"/>
      <c r="S31" s="69"/>
      <c r="T31" s="69"/>
      <c r="U31" s="69">
        <f>735</f>
        <v>735</v>
      </c>
      <c r="V31" s="21" t="s">
        <v>36</v>
      </c>
      <c r="W31" s="19"/>
      <c r="X31" s="19"/>
      <c r="Y31" s="19"/>
    </row>
    <row r="32" ht="14.25" customHeight="1">
      <c r="A32" s="35" t="s">
        <v>311</v>
      </c>
      <c r="B32" s="16"/>
      <c r="C32" s="19"/>
      <c r="D32" s="19">
        <f>2204.99+290.98</f>
        <v>2495.97</v>
      </c>
      <c r="E32" s="19"/>
      <c r="F32" s="19"/>
      <c r="G32" s="1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>
        <f>1853.93</f>
        <v>1853.93</v>
      </c>
      <c r="V32" s="26" t="s">
        <v>105</v>
      </c>
      <c r="W32" s="19"/>
      <c r="X32" s="19"/>
      <c r="Y32" s="19"/>
    </row>
    <row r="33" ht="14.25" customHeight="1">
      <c r="A33" s="35" t="s">
        <v>311</v>
      </c>
      <c r="B33" s="16"/>
      <c r="C33" s="19"/>
      <c r="D33" s="19">
        <f>0.5+23000+199.5+1999.5+99.5+249.5+100</f>
        <v>25648.5</v>
      </c>
      <c r="E33" s="19"/>
      <c r="F33" s="19"/>
      <c r="G33" s="1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>
        <f>48000</f>
        <v>48000</v>
      </c>
      <c r="V33" s="26" t="s">
        <v>71</v>
      </c>
      <c r="W33" s="19"/>
      <c r="X33" s="19"/>
      <c r="Y33" s="19"/>
    </row>
    <row r="34" ht="14.25" customHeight="1">
      <c r="A34" s="35" t="s">
        <v>312</v>
      </c>
      <c r="B34" s="16" t="s">
        <v>181</v>
      </c>
      <c r="C34" s="19">
        <f>491</f>
        <v>491</v>
      </c>
      <c r="D34" s="19">
        <f>3500+425.52+71.58</f>
        <v>3997.1</v>
      </c>
      <c r="E34" s="19"/>
      <c r="F34" s="19"/>
      <c r="G34" s="1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>
        <f>4810+800</f>
        <v>5610</v>
      </c>
      <c r="V34" s="26" t="s">
        <v>45</v>
      </c>
      <c r="W34" s="19"/>
      <c r="X34" s="19"/>
      <c r="Y34" s="19"/>
    </row>
    <row r="35" ht="14.25" customHeight="1">
      <c r="A35" s="35" t="s">
        <v>312</v>
      </c>
      <c r="B35" s="73"/>
      <c r="C35" s="19"/>
      <c r="D35" s="19">
        <f>9.5+7908.6</f>
        <v>7918.1</v>
      </c>
      <c r="E35" s="19"/>
      <c r="F35" s="19"/>
      <c r="G35" s="19"/>
      <c r="H35" s="69">
        <f>112250</f>
        <v>112250</v>
      </c>
      <c r="I35" s="69"/>
      <c r="J35" s="69"/>
      <c r="K35" s="69"/>
      <c r="L35" s="69"/>
      <c r="M35" s="69">
        <f>31525</f>
        <v>31525</v>
      </c>
      <c r="N35" s="69"/>
      <c r="O35" s="69"/>
      <c r="P35" s="69"/>
      <c r="Q35" s="69"/>
      <c r="R35" s="69"/>
      <c r="S35" s="69"/>
      <c r="T35" s="69"/>
      <c r="U35" s="69">
        <f>499</f>
        <v>499</v>
      </c>
      <c r="V35" s="21" t="s">
        <v>313</v>
      </c>
      <c r="W35" s="19"/>
      <c r="X35" s="19"/>
      <c r="Y35" s="19"/>
    </row>
    <row r="36" ht="14.25" customHeight="1">
      <c r="A36" s="35" t="s">
        <v>314</v>
      </c>
      <c r="B36" s="16"/>
      <c r="C36" s="19"/>
      <c r="D36" s="19">
        <f>1000+5520+200</f>
        <v>6720</v>
      </c>
      <c r="E36" s="19"/>
      <c r="F36" s="19"/>
      <c r="G36" s="1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>
        <f>11938.26</f>
        <v>11938.26</v>
      </c>
      <c r="V36" s="26" t="s">
        <v>315</v>
      </c>
      <c r="W36" s="19"/>
      <c r="X36" s="19"/>
      <c r="Y36" s="19"/>
    </row>
    <row r="37" ht="14.25" customHeight="1">
      <c r="A37" s="35" t="s">
        <v>314</v>
      </c>
      <c r="B37" s="13"/>
      <c r="C37" s="19"/>
      <c r="D37" s="19">
        <f>10000</f>
        <v>10000</v>
      </c>
      <c r="E37" s="19"/>
      <c r="F37" s="19"/>
      <c r="G37" s="19"/>
      <c r="H37" s="69"/>
      <c r="I37" s="69">
        <f>69695</f>
        <v>69695</v>
      </c>
      <c r="J37" s="69"/>
      <c r="K37" s="69"/>
      <c r="L37" s="69"/>
      <c r="M37" s="69"/>
      <c r="N37" s="69"/>
      <c r="O37" s="69"/>
      <c r="P37" s="69"/>
      <c r="Q37" s="69">
        <f>4800+2035.4+4000</f>
        <v>10835.4</v>
      </c>
      <c r="R37" s="69"/>
      <c r="S37" s="69"/>
      <c r="T37" s="69"/>
      <c r="U37" s="69">
        <f>24250</f>
        <v>24250</v>
      </c>
      <c r="V37" s="21" t="s">
        <v>316</v>
      </c>
      <c r="W37" s="19"/>
      <c r="X37" s="19"/>
      <c r="Y37" s="19"/>
    </row>
    <row r="38" ht="14.25" customHeight="1">
      <c r="A38" s="75">
        <v>45217.0</v>
      </c>
      <c r="B38" s="10"/>
      <c r="C38" s="19"/>
      <c r="D38" s="19">
        <f>573.57+54.68+500</f>
        <v>1128.25</v>
      </c>
      <c r="E38" s="19"/>
      <c r="F38" s="19"/>
      <c r="G38" s="1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>
        <f>4000</f>
        <v>4000</v>
      </c>
      <c r="V38" s="21" t="s">
        <v>108</v>
      </c>
      <c r="W38" s="19"/>
      <c r="X38" s="19"/>
      <c r="Y38" s="19"/>
    </row>
    <row r="39" ht="14.25" customHeight="1">
      <c r="A39" s="75">
        <v>45217.0</v>
      </c>
      <c r="B39" s="14" t="s">
        <v>317</v>
      </c>
      <c r="C39" s="19">
        <f>100000</f>
        <v>100000</v>
      </c>
      <c r="D39" s="19">
        <f>0.5+0.5+0.5+1311</f>
        <v>1312.5</v>
      </c>
      <c r="E39" s="19">
        <f>240</f>
        <v>240</v>
      </c>
      <c r="F39" s="19"/>
      <c r="G39" s="1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>
        <f>932</f>
        <v>932</v>
      </c>
      <c r="V39" s="21" t="s">
        <v>318</v>
      </c>
      <c r="W39" s="19"/>
      <c r="X39" s="19"/>
      <c r="Y39" s="19"/>
    </row>
    <row r="40" ht="14.25" customHeight="1">
      <c r="A40" s="75">
        <v>45218.0</v>
      </c>
      <c r="B40" s="14" t="s">
        <v>79</v>
      </c>
      <c r="C40" s="19">
        <f>1473+982</f>
        <v>2455</v>
      </c>
      <c r="D40" s="19">
        <f>38440.35+2385.58+10.97+645.54</f>
        <v>41482.44</v>
      </c>
      <c r="E40" s="19"/>
      <c r="F40" s="19"/>
      <c r="G40" s="1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>
        <f>1383</f>
        <v>1383</v>
      </c>
      <c r="V40" s="21" t="s">
        <v>42</v>
      </c>
      <c r="W40" s="19"/>
      <c r="X40" s="19"/>
      <c r="Y40" s="19"/>
    </row>
    <row r="41" ht="14.25" customHeight="1">
      <c r="A41" s="75">
        <v>45218.0</v>
      </c>
      <c r="B41" s="10"/>
      <c r="C41" s="19"/>
      <c r="D41" s="19">
        <f>9.5+3636</f>
        <v>3645.5</v>
      </c>
      <c r="E41" s="19"/>
      <c r="F41" s="19"/>
      <c r="G41" s="19"/>
      <c r="H41" s="69">
        <f>132483.5</f>
        <v>132483.5</v>
      </c>
      <c r="I41" s="69"/>
      <c r="J41" s="69">
        <f>5730</f>
        <v>5730</v>
      </c>
      <c r="K41" s="69"/>
      <c r="L41" s="69"/>
      <c r="M41" s="69">
        <f>28380+20619.25</f>
        <v>48999.25</v>
      </c>
      <c r="N41" s="69"/>
      <c r="O41" s="69"/>
      <c r="P41" s="69"/>
      <c r="Q41" s="69"/>
      <c r="R41" s="69"/>
      <c r="S41" s="69"/>
      <c r="T41" s="69"/>
      <c r="U41" s="69">
        <f>895.7</f>
        <v>895.7</v>
      </c>
      <c r="V41" s="21" t="s">
        <v>319</v>
      </c>
      <c r="W41" s="19"/>
      <c r="X41" s="19"/>
      <c r="Y41" s="19"/>
    </row>
    <row r="42" ht="14.25" customHeight="1">
      <c r="A42" s="75">
        <v>45219.0</v>
      </c>
      <c r="B42" s="14" t="s">
        <v>79</v>
      </c>
      <c r="C42" s="19">
        <f>982+1964</f>
        <v>2946</v>
      </c>
      <c r="D42" s="19">
        <f>2738.66</f>
        <v>2738.66</v>
      </c>
      <c r="E42" s="19"/>
      <c r="F42" s="19"/>
      <c r="G42" s="1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W42" s="19"/>
      <c r="X42" s="19"/>
      <c r="Y42" s="19"/>
    </row>
    <row r="43" ht="14.25" customHeight="1">
      <c r="A43" s="75">
        <v>45219.0</v>
      </c>
      <c r="B43" s="10"/>
      <c r="C43" s="19"/>
      <c r="D43" s="19">
        <f>4.5</f>
        <v>4.5</v>
      </c>
      <c r="E43" s="19"/>
      <c r="F43" s="19"/>
      <c r="G43" s="1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W43" s="19"/>
      <c r="X43" s="19"/>
      <c r="Y43" s="19"/>
    </row>
    <row r="44" ht="14.25" customHeight="1">
      <c r="A44" s="75">
        <v>45220.0</v>
      </c>
      <c r="B44" s="7"/>
      <c r="C44" s="7"/>
      <c r="D44" s="9">
        <f>4478.76+642.17+100</f>
        <v>5220.93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ht="14.25" customHeight="1">
      <c r="A45" s="75">
        <v>45221.0</v>
      </c>
      <c r="B45" s="16"/>
      <c r="C45" s="7"/>
      <c r="D45" s="9">
        <f>1891.12+144.62+0.5+9.5+1000</f>
        <v>3045.74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ht="14.25" customHeight="1">
      <c r="A46" s="75">
        <v>45222.0</v>
      </c>
      <c r="B46" s="13" t="s">
        <v>79</v>
      </c>
      <c r="C46" s="7">
        <f>1080.2+1964</f>
        <v>3044.2</v>
      </c>
      <c r="D46" s="9">
        <f>1116.49</f>
        <v>1116.49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ht="14.25" customHeight="1">
      <c r="A47" s="75">
        <v>45222.0</v>
      </c>
      <c r="B47" s="7"/>
      <c r="C47" s="7"/>
      <c r="D47" s="9">
        <f>112320</f>
        <v>112320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ht="14.25" customHeight="1">
      <c r="A48" s="75">
        <v>45223.0</v>
      </c>
      <c r="B48" s="13" t="s">
        <v>79</v>
      </c>
      <c r="C48" s="7">
        <f>3250.42</f>
        <v>3250.42</v>
      </c>
      <c r="D48" s="9">
        <f>1508.6+325.35+8.14</f>
        <v>1842.09</v>
      </c>
      <c r="H48" s="76">
        <f>145000</f>
        <v>145000</v>
      </c>
      <c r="I48" s="76"/>
      <c r="J48" s="76"/>
      <c r="K48" s="76"/>
      <c r="L48" s="76"/>
      <c r="M48" s="76">
        <f>43410+23201.1+21187.48</f>
        <v>87798.58</v>
      </c>
      <c r="N48" s="76"/>
      <c r="O48" s="76"/>
      <c r="P48" s="76"/>
      <c r="Q48" s="76">
        <f>399+14940.03+8000+3510</f>
        <v>26849.03</v>
      </c>
      <c r="R48" s="76"/>
      <c r="S48" s="76"/>
      <c r="T48" s="76"/>
      <c r="U48" s="76"/>
    </row>
    <row r="49" ht="14.25" customHeight="1">
      <c r="A49" s="75">
        <v>45223.0</v>
      </c>
      <c r="B49" s="13" t="s">
        <v>320</v>
      </c>
      <c r="C49" s="7">
        <f>430969</f>
        <v>430969</v>
      </c>
      <c r="D49" s="9">
        <f>150+0.5+9.5+0.5+4.5</f>
        <v>165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ht="14.25" customHeight="1">
      <c r="A50" s="75">
        <v>45224.0</v>
      </c>
      <c r="B50" s="13" t="s">
        <v>79</v>
      </c>
      <c r="C50" s="7">
        <f>206.22</f>
        <v>206.22</v>
      </c>
      <c r="D50" s="9">
        <f>2.3</f>
        <v>2.3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ht="14.25" customHeight="1">
      <c r="A51" s="75">
        <v>45224.0</v>
      </c>
      <c r="B51" s="13" t="s">
        <v>321</v>
      </c>
      <c r="C51" s="7">
        <f>25350</f>
        <v>25350</v>
      </c>
      <c r="D51" s="9">
        <f>0.5+0.5+0.5+99.5+700</f>
        <v>801</v>
      </c>
      <c r="H51" s="76"/>
      <c r="I51" s="76"/>
      <c r="J51" s="76"/>
      <c r="K51" s="76"/>
      <c r="L51" s="76"/>
      <c r="M51" s="76">
        <f>29700+27200+55420</f>
        <v>112320</v>
      </c>
      <c r="N51" s="76"/>
      <c r="O51" s="76"/>
      <c r="P51" s="76"/>
      <c r="Q51" s="76">
        <f>12148+2645+702</f>
        <v>15495</v>
      </c>
      <c r="R51" s="76"/>
      <c r="S51" s="76"/>
      <c r="T51" s="76"/>
      <c r="U51" s="76"/>
    </row>
    <row r="52" ht="14.25" customHeight="1">
      <c r="A52" s="75">
        <v>45225.0</v>
      </c>
      <c r="B52" s="13" t="s">
        <v>79</v>
      </c>
      <c r="C52" s="7">
        <f>982</f>
        <v>982</v>
      </c>
      <c r="D52" s="9">
        <f>7002.29+6374.66+435.82+229.77</f>
        <v>14042.54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ht="14.25" customHeight="1">
      <c r="A53" s="75">
        <v>45225.0</v>
      </c>
      <c r="B53" s="13" t="s">
        <v>293</v>
      </c>
      <c r="C53" s="7">
        <f>35000</f>
        <v>35000</v>
      </c>
      <c r="D53" s="9">
        <f>9.5+199.5+300+49.5+1500</f>
        <v>2058.5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ht="14.25" customHeight="1">
      <c r="A54" s="75">
        <v>45226.0</v>
      </c>
      <c r="B54" s="13"/>
      <c r="C54" s="7"/>
      <c r="D54" s="9">
        <f>3711.16+864.52+192.34+1960</f>
        <v>6728.02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ht="14.25" customHeight="1">
      <c r="A55" s="75">
        <v>45226.0</v>
      </c>
      <c r="B55" s="13"/>
      <c r="C55" s="7"/>
      <c r="D55" s="9">
        <f>499.5+0.5+300+600+12575.36</f>
        <v>13975.36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ht="14.25" customHeight="1">
      <c r="A56" s="75">
        <v>45227.0</v>
      </c>
      <c r="B56" s="13"/>
      <c r="C56" s="7"/>
      <c r="D56" s="9">
        <f>2435.53+1372</f>
        <v>3807.53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ht="14.25" customHeight="1">
      <c r="A57" s="75">
        <v>45227.0</v>
      </c>
      <c r="B57" s="13"/>
      <c r="C57" s="7"/>
      <c r="D57" s="9">
        <f>0.5+0.5+1000+922.5</f>
        <v>1923.5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ht="14.25" customHeight="1">
      <c r="A58" s="75">
        <v>45228.0</v>
      </c>
      <c r="B58" s="73"/>
      <c r="D58" s="9">
        <f>3328.51+1091.6+29.24+4410</f>
        <v>8859.35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ht="14.25" customHeight="1">
      <c r="A59" s="75">
        <v>45228.0</v>
      </c>
      <c r="D59" s="9">
        <f>0.5+681.1</f>
        <v>681.6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ht="14.25" customHeight="1">
      <c r="A60" s="75">
        <v>45229.0</v>
      </c>
      <c r="D60" s="9">
        <f>3942.23+263.65</f>
        <v>4205.88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ht="14.25" customHeight="1">
      <c r="A61" s="75">
        <v>45229.0</v>
      </c>
      <c r="D61" s="9">
        <f>0.5+7985.2</f>
        <v>7985.7</v>
      </c>
      <c r="H61" s="76">
        <f>36000+97500</f>
        <v>133500</v>
      </c>
      <c r="I61" s="76"/>
      <c r="J61" s="76"/>
      <c r="K61" s="76">
        <f>32606.61</f>
        <v>32606.61</v>
      </c>
      <c r="L61" s="76"/>
      <c r="M61" s="76">
        <f>25350+24250</f>
        <v>49600</v>
      </c>
      <c r="N61" s="76"/>
      <c r="O61" s="76"/>
      <c r="P61" s="76"/>
      <c r="Q61" s="76">
        <f>2000+1098+563.41+919+2895.34+12600+99.8</f>
        <v>20175.55</v>
      </c>
      <c r="R61" s="76"/>
      <c r="S61" s="76"/>
      <c r="T61" s="76"/>
      <c r="U61" s="76"/>
    </row>
    <row r="62" ht="14.25" customHeight="1">
      <c r="A62" s="75">
        <v>45230.0</v>
      </c>
      <c r="B62" s="21" t="s">
        <v>181</v>
      </c>
      <c r="C62" s="9">
        <f>18167+9770.9</f>
        <v>27937.9</v>
      </c>
      <c r="D62" s="9">
        <f>1532.45+760.78+43.58</f>
        <v>2336.81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ht="14.25" customHeight="1">
      <c r="A63" s="75">
        <v>45230.0</v>
      </c>
      <c r="B63" s="21" t="s">
        <v>322</v>
      </c>
      <c r="C63" s="21">
        <v>5.8962495E7</v>
      </c>
      <c r="D63" s="9">
        <f>999.5</f>
        <v>999.5</v>
      </c>
      <c r="G63" s="9">
        <f>20.39</f>
        <v>20.39</v>
      </c>
      <c r="H63" s="76"/>
      <c r="I63" s="76"/>
      <c r="J63" s="76"/>
      <c r="K63" s="76"/>
      <c r="L63" s="76"/>
      <c r="M63" s="76"/>
      <c r="N63" s="76"/>
      <c r="O63" s="76"/>
      <c r="P63" s="76"/>
      <c r="Q63" s="76">
        <f>2971.58+1199</f>
        <v>4170.58</v>
      </c>
      <c r="R63" s="76"/>
      <c r="S63" s="76"/>
      <c r="T63" s="76"/>
      <c r="U63" s="76"/>
    </row>
    <row r="64" ht="14.25" customHeight="1">
      <c r="A64" s="75">
        <v>45230.0</v>
      </c>
      <c r="B64" s="21" t="s">
        <v>323</v>
      </c>
      <c r="C64" s="21">
        <v>50000.0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ht="14.25" customHeight="1">
      <c r="A65" s="75">
        <v>45230.0</v>
      </c>
      <c r="B65" s="21" t="s">
        <v>235</v>
      </c>
      <c r="C65" s="9">
        <f>4500</f>
        <v>4500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ht="14.25" customHeight="1">
      <c r="A66" s="37" t="s">
        <v>50</v>
      </c>
      <c r="B66" s="24"/>
      <c r="C66" s="24">
        <f>SUM(C4:C65)</f>
        <v>59946469.46</v>
      </c>
      <c r="D66" s="24">
        <f t="shared" ref="D66:U66" si="1">SUM(D3:D65)</f>
        <v>853363.06</v>
      </c>
      <c r="E66" s="24">
        <f t="shared" si="1"/>
        <v>4920</v>
      </c>
      <c r="F66" s="24">
        <f t="shared" si="1"/>
        <v>0</v>
      </c>
      <c r="G66" s="24">
        <f t="shared" si="1"/>
        <v>20.39</v>
      </c>
      <c r="H66" s="24">
        <f t="shared" si="1"/>
        <v>2313497.5</v>
      </c>
      <c r="I66" s="24">
        <f t="shared" si="1"/>
        <v>69695</v>
      </c>
      <c r="J66" s="24">
        <f t="shared" si="1"/>
        <v>5730</v>
      </c>
      <c r="K66" s="24">
        <f t="shared" si="1"/>
        <v>828533.8</v>
      </c>
      <c r="L66" s="24">
        <f t="shared" si="1"/>
        <v>40705</v>
      </c>
      <c r="M66" s="24">
        <f t="shared" si="1"/>
        <v>677002.82</v>
      </c>
      <c r="N66" s="24">
        <f t="shared" si="1"/>
        <v>0</v>
      </c>
      <c r="O66" s="24">
        <f t="shared" si="1"/>
        <v>0</v>
      </c>
      <c r="P66" s="24">
        <f t="shared" si="1"/>
        <v>0</v>
      </c>
      <c r="Q66" s="24">
        <f t="shared" si="1"/>
        <v>222125.76</v>
      </c>
      <c r="R66" s="24">
        <f t="shared" si="1"/>
        <v>0</v>
      </c>
      <c r="S66" s="24">
        <f t="shared" si="1"/>
        <v>0</v>
      </c>
      <c r="T66" s="24">
        <f t="shared" si="1"/>
        <v>0</v>
      </c>
      <c r="U66" s="24">
        <f t="shared" si="1"/>
        <v>1216745.23</v>
      </c>
      <c r="V66" s="25"/>
      <c r="W66" s="25"/>
      <c r="X66" s="25"/>
      <c r="Y66" s="25"/>
    </row>
    <row r="67" ht="14.25" customHeight="1">
      <c r="A67" s="38"/>
    </row>
    <row r="68" ht="14.25" customHeight="1">
      <c r="A68" s="38"/>
      <c r="B68" s="7"/>
      <c r="C68" s="7"/>
      <c r="D68" s="7"/>
    </row>
    <row r="69" ht="14.25" customHeight="1">
      <c r="A69" s="38"/>
      <c r="B69" s="7"/>
      <c r="C69" s="7"/>
      <c r="D69" s="7"/>
    </row>
    <row r="70" ht="14.25" customHeight="1">
      <c r="A70" s="38"/>
      <c r="B70" s="7"/>
      <c r="C70" s="7"/>
      <c r="D70" s="7"/>
    </row>
    <row r="71" ht="14.25" customHeight="1">
      <c r="A71" s="38"/>
      <c r="B71" s="7"/>
      <c r="C71" s="7"/>
      <c r="D71" s="7"/>
    </row>
    <row r="72" ht="14.25" customHeight="1">
      <c r="A72" s="38"/>
      <c r="B72" s="7"/>
      <c r="C72" s="7"/>
      <c r="D72" s="7"/>
    </row>
    <row r="73" ht="14.25" customHeight="1">
      <c r="A73" s="38"/>
      <c r="B73" s="7"/>
      <c r="C73" s="7"/>
      <c r="D73" s="7"/>
    </row>
    <row r="74" ht="14.25" customHeight="1">
      <c r="A74" s="38"/>
      <c r="B74" s="7"/>
      <c r="C74" s="7"/>
      <c r="D74" s="7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R1"/>
    <mergeCell ref="U1:V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10.14"/>
    <col customWidth="1" min="17" max="17" width="11.0"/>
    <col customWidth="1" min="18" max="18" width="10.86"/>
    <col customWidth="1" min="19" max="19" width="15.29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68" t="s">
        <v>294</v>
      </c>
      <c r="P2" s="68" t="s">
        <v>324</v>
      </c>
      <c r="Q2" s="2" t="s">
        <v>139</v>
      </c>
      <c r="R2" s="2" t="s">
        <v>212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18">
        <f>5+5+5+5+5+5+15+5+5+5+5+5+5+15++5+5+15+15+15+5+5+5+5+5+5+5+5+5+5+5+5+5+5+5+55+5+5+5+5+5+5+5+5+5+5+56+5+5+5+5+5+5+5+99.5+5+5+5+5+5+5+5+5+15+5+5+5+5+5+5+5+5+5+235.68+5+49.5+5+5+5+5+5+5+5+5+5+5+5+5+5+5+5+5+5+5+5+5+56+5+5+5+5+5+5+5+1000</f>
        <v>2096.68</v>
      </c>
      <c r="W3" s="10" t="s">
        <v>24</v>
      </c>
      <c r="X3" s="19"/>
      <c r="Y3" s="19"/>
      <c r="Z3" s="19"/>
    </row>
    <row r="4" ht="14.25" customHeight="1">
      <c r="A4" s="78">
        <v>45231.0</v>
      </c>
      <c r="B4" s="14" t="s">
        <v>181</v>
      </c>
      <c r="C4" s="40">
        <f>7954.2</f>
        <v>7954.2</v>
      </c>
      <c r="D4" s="19">
        <f>2744.3</f>
        <v>2744.3</v>
      </c>
      <c r="E4" s="19"/>
      <c r="F4" s="19"/>
      <c r="G4" s="19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19">
        <f>600</f>
        <v>600</v>
      </c>
      <c r="W4" s="26" t="s">
        <v>47</v>
      </c>
      <c r="X4" s="19"/>
      <c r="Y4" s="19"/>
      <c r="Z4" s="19"/>
    </row>
    <row r="5" ht="14.25" customHeight="1">
      <c r="A5" s="78">
        <v>45231.0</v>
      </c>
      <c r="B5" s="47" t="s">
        <v>240</v>
      </c>
      <c r="C5" s="79">
        <f>6649.26</f>
        <v>6649.26</v>
      </c>
      <c r="D5" s="19">
        <f>49.5+283+100+99.5</f>
        <v>532</v>
      </c>
      <c r="E5" s="19">
        <f>600</f>
        <v>600</v>
      </c>
      <c r="F5" s="19"/>
      <c r="G5" s="19"/>
      <c r="H5" s="77"/>
      <c r="I5" s="77"/>
      <c r="J5" s="77"/>
      <c r="K5" s="77">
        <f>93761.55+76465.23</f>
        <v>170226.78</v>
      </c>
      <c r="L5" s="77"/>
      <c r="M5" s="77"/>
      <c r="N5" s="77"/>
      <c r="O5" s="77"/>
      <c r="P5" s="77"/>
      <c r="Q5" s="77"/>
      <c r="R5" s="77">
        <f>3000+4601.76+642.7+6904.8</f>
        <v>15149.26</v>
      </c>
      <c r="S5" s="77"/>
      <c r="T5" s="77"/>
      <c r="U5" s="77"/>
      <c r="V5" s="19">
        <f>5303.94+4303.73+4113.15</f>
        <v>13720.82</v>
      </c>
      <c r="W5" s="26" t="s">
        <v>183</v>
      </c>
      <c r="X5" s="19"/>
      <c r="Y5" s="19"/>
      <c r="Z5" s="19"/>
    </row>
    <row r="6" ht="14.25" customHeight="1">
      <c r="A6" s="78">
        <v>45232.0</v>
      </c>
      <c r="B6" s="14" t="s">
        <v>181</v>
      </c>
      <c r="C6" s="40">
        <f>196.4</f>
        <v>196.4</v>
      </c>
      <c r="D6" s="19">
        <f>5000+80.74+300</f>
        <v>5380.74</v>
      </c>
      <c r="E6" s="19"/>
      <c r="F6" s="19"/>
      <c r="G6" s="19"/>
      <c r="H6" s="77">
        <f>145000+670000+670000+899500+899500+1340000+1340000+1340000+1622000+2010000+2010000</f>
        <v>12946000</v>
      </c>
      <c r="I6" s="77">
        <f>50000</f>
        <v>50000</v>
      </c>
      <c r="J6" s="77"/>
      <c r="K6" s="77"/>
      <c r="L6" s="77"/>
      <c r="M6" s="77"/>
      <c r="N6" s="77"/>
      <c r="O6" s="77"/>
      <c r="P6" s="77"/>
      <c r="Q6" s="77"/>
      <c r="R6" s="77">
        <f>6300</f>
        <v>6300</v>
      </c>
      <c r="S6" s="77">
        <f>15000</f>
        <v>15000</v>
      </c>
      <c r="T6" s="77"/>
      <c r="U6" s="77"/>
      <c r="V6" s="19">
        <f>1035</f>
        <v>1035</v>
      </c>
      <c r="W6" s="26" t="s">
        <v>295</v>
      </c>
      <c r="X6" s="19"/>
      <c r="Y6" s="19"/>
      <c r="Z6" s="19"/>
    </row>
    <row r="7" ht="14.25" customHeight="1">
      <c r="A7" s="78">
        <v>45232.0</v>
      </c>
      <c r="B7" s="47" t="s">
        <v>240</v>
      </c>
      <c r="C7" s="72">
        <v>557.77</v>
      </c>
      <c r="D7" s="19">
        <f>5782.98+99.5+10.5</f>
        <v>5892.98</v>
      </c>
      <c r="E7" s="19"/>
      <c r="F7" s="19"/>
      <c r="G7" s="19"/>
      <c r="H7" s="77">
        <f>156550.5</f>
        <v>156550.5</v>
      </c>
      <c r="I7" s="77"/>
      <c r="J7" s="77"/>
      <c r="K7" s="77"/>
      <c r="L7" s="77">
        <f>1000000</f>
        <v>1000000</v>
      </c>
      <c r="M7" s="77"/>
      <c r="N7" s="77"/>
      <c r="O7" s="77"/>
      <c r="P7" s="77"/>
      <c r="Q7" s="77"/>
      <c r="R7" s="77">
        <f>49569.3</f>
        <v>49569.3</v>
      </c>
      <c r="S7" s="77"/>
      <c r="T7" s="77"/>
      <c r="U7" s="77"/>
      <c r="V7" s="19">
        <f>11861</f>
        <v>11861</v>
      </c>
      <c r="W7" s="14" t="s">
        <v>325</v>
      </c>
      <c r="X7" s="19"/>
      <c r="Y7" s="19"/>
      <c r="Z7" s="19"/>
    </row>
    <row r="8" ht="14.25" customHeight="1">
      <c r="A8" s="78">
        <v>45233.0</v>
      </c>
      <c r="B8" s="73" t="s">
        <v>326</v>
      </c>
      <c r="C8" s="18">
        <f>27550</f>
        <v>27550</v>
      </c>
      <c r="D8" s="19">
        <f>2157.49+31.19+295.83+499.5</f>
        <v>2984.01</v>
      </c>
      <c r="E8" s="19">
        <f>60</f>
        <v>60</v>
      </c>
      <c r="F8" s="19"/>
      <c r="G8" s="19"/>
      <c r="H8" s="77">
        <f>794441</f>
        <v>794441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19">
        <f>4000</f>
        <v>4000</v>
      </c>
      <c r="W8" s="26" t="s">
        <v>65</v>
      </c>
      <c r="X8" s="19"/>
      <c r="Y8" s="19"/>
      <c r="Z8" s="19"/>
    </row>
    <row r="9" ht="14.25" customHeight="1">
      <c r="A9" s="78">
        <v>45233.0</v>
      </c>
      <c r="B9" s="73" t="s">
        <v>327</v>
      </c>
      <c r="C9" s="19">
        <f>16204</f>
        <v>16204</v>
      </c>
      <c r="D9" s="19">
        <f>0.5+0.5+199.5</f>
        <v>200.5</v>
      </c>
      <c r="E9" s="19"/>
      <c r="F9" s="19"/>
      <c r="G9" s="19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19">
        <f>405</f>
        <v>405</v>
      </c>
      <c r="W9" s="26" t="s">
        <v>44</v>
      </c>
      <c r="X9" s="19"/>
      <c r="Y9" s="19"/>
      <c r="Z9" s="19"/>
    </row>
    <row r="10" ht="14.25" customHeight="1">
      <c r="A10" s="78">
        <v>45234.0</v>
      </c>
      <c r="B10" s="16"/>
      <c r="C10" s="19"/>
      <c r="D10" s="19">
        <f>2289.37+95.02</f>
        <v>2384.39</v>
      </c>
      <c r="E10" s="19"/>
      <c r="F10" s="19"/>
      <c r="G10" s="19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19">
        <f>70821</f>
        <v>70821</v>
      </c>
      <c r="W10" s="14" t="s">
        <v>328</v>
      </c>
      <c r="X10" s="19"/>
      <c r="Y10" s="19"/>
      <c r="Z10" s="19"/>
    </row>
    <row r="11" ht="14.25" customHeight="1">
      <c r="A11" s="78">
        <v>45234.0</v>
      </c>
      <c r="B11" s="16"/>
      <c r="C11" s="19"/>
      <c r="D11" s="19">
        <f>0.5+1000</f>
        <v>1000.5</v>
      </c>
      <c r="E11" s="19"/>
      <c r="F11" s="19"/>
      <c r="G11" s="19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19">
        <f>1078</f>
        <v>1078</v>
      </c>
      <c r="W11" s="18" t="s">
        <v>329</v>
      </c>
      <c r="X11" s="19"/>
      <c r="Y11" s="19"/>
      <c r="Z11" s="19"/>
    </row>
    <row r="12" ht="14.25" customHeight="1">
      <c r="A12" s="78">
        <v>45235.0</v>
      </c>
      <c r="B12" s="73"/>
      <c r="C12" s="19"/>
      <c r="D12" s="19">
        <f>700+1789.43</f>
        <v>2489.43</v>
      </c>
      <c r="E12" s="19"/>
      <c r="F12" s="19"/>
      <c r="G12" s="19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19">
        <f>4000</f>
        <v>4000</v>
      </c>
      <c r="W12" s="21" t="s">
        <v>330</v>
      </c>
      <c r="X12" s="19"/>
      <c r="Y12" s="19"/>
      <c r="Z12" s="19"/>
    </row>
    <row r="13" ht="14.25" customHeight="1">
      <c r="A13" s="78">
        <v>45235.0</v>
      </c>
      <c r="B13" s="80"/>
      <c r="C13" s="81"/>
      <c r="D13" s="19">
        <f>0.5+49.5</f>
        <v>50</v>
      </c>
      <c r="E13" s="19"/>
      <c r="F13" s="19"/>
      <c r="G13" s="19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19">
        <f>12000.13+10022.25+20004.25+10022.25+8000.09+9016+10006.15+21501.55+12501.65+8000.09+9500.61</f>
        <v>130575.02</v>
      </c>
      <c r="W13" s="14" t="s">
        <v>31</v>
      </c>
      <c r="X13" s="19"/>
      <c r="Y13" s="19"/>
      <c r="Z13" s="19"/>
    </row>
    <row r="14" ht="14.25" customHeight="1">
      <c r="A14" s="78">
        <v>45236.0</v>
      </c>
      <c r="B14" s="16"/>
      <c r="C14" s="19"/>
      <c r="D14" s="19">
        <f>3077.66+204.72+36.79</f>
        <v>3319.17</v>
      </c>
      <c r="E14" s="19"/>
      <c r="F14" s="19"/>
      <c r="G14" s="19"/>
      <c r="H14" s="77">
        <f>97500+189169</f>
        <v>286669</v>
      </c>
      <c r="I14" s="77"/>
      <c r="J14" s="77"/>
      <c r="K14" s="77"/>
      <c r="L14" s="77"/>
      <c r="M14" s="77"/>
      <c r="N14" s="77"/>
      <c r="O14" s="77"/>
      <c r="P14" s="77"/>
      <c r="Q14" s="77"/>
      <c r="R14" s="77">
        <f>78854.58+1469.34+17632.08</f>
        <v>97956</v>
      </c>
      <c r="S14" s="77"/>
      <c r="T14" s="77"/>
      <c r="U14" s="77"/>
      <c r="V14" s="19">
        <f>10022.25+5881.33+21501.55+10006.15+5090.82+12501.65+8000.09+20004.25+12000.13+3619.28+2909.27</f>
        <v>111536.77</v>
      </c>
      <c r="W14" s="10" t="s">
        <v>32</v>
      </c>
      <c r="X14" s="19"/>
      <c r="Y14" s="19"/>
      <c r="Z14" s="19"/>
    </row>
    <row r="15" ht="14.25" customHeight="1">
      <c r="A15" s="78">
        <v>45236.0</v>
      </c>
      <c r="B15" s="73"/>
      <c r="C15" s="19"/>
      <c r="D15" s="19">
        <f>9.5+9.5+7350+100</f>
        <v>7469</v>
      </c>
      <c r="E15" s="19"/>
      <c r="F15" s="19"/>
      <c r="G15" s="19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19">
        <f>12181.86+1015.16+14888.94+1296.27+15555.24+19011.96+9016+10022.25+1459.8+121.65+1784.2+627.36+7528.5+9201.5+1296.27+15555.24+19011.96+1136.81+13641.66+16673.14</f>
        <v>171025.77</v>
      </c>
      <c r="W15" s="14" t="s">
        <v>34</v>
      </c>
      <c r="X15" s="19"/>
      <c r="Y15" s="19"/>
      <c r="Z15" s="19"/>
    </row>
    <row r="16" ht="14.25" customHeight="1">
      <c r="A16" s="78">
        <v>45237.0</v>
      </c>
      <c r="B16" s="10"/>
      <c r="C16" s="7"/>
      <c r="D16" s="19">
        <f>3999.5+799.5+4900+100</f>
        <v>9799</v>
      </c>
      <c r="E16" s="19"/>
      <c r="F16" s="19"/>
      <c r="G16" s="19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19">
        <f>4000+5000</f>
        <v>9000</v>
      </c>
      <c r="W16" s="26" t="s">
        <v>27</v>
      </c>
      <c r="X16" s="19"/>
      <c r="Y16" s="19"/>
      <c r="Z16" s="19"/>
    </row>
    <row r="17" ht="14.25" customHeight="1">
      <c r="A17" s="78">
        <v>45237.0</v>
      </c>
      <c r="B17" s="10"/>
      <c r="C17" s="7"/>
      <c r="D17" s="19">
        <f>1000+35.18+17.04</f>
        <v>1052.22</v>
      </c>
      <c r="E17" s="19"/>
      <c r="F17" s="19"/>
      <c r="G17" s="19"/>
      <c r="H17" s="77">
        <f>219000</f>
        <v>219000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19">
        <f>15000</f>
        <v>15000</v>
      </c>
      <c r="W17" s="14" t="s">
        <v>331</v>
      </c>
      <c r="X17" s="19"/>
      <c r="Y17" s="19"/>
      <c r="Z17" s="19"/>
    </row>
    <row r="18" ht="14.25" customHeight="1">
      <c r="A18" s="78">
        <v>45238.0</v>
      </c>
      <c r="B18" s="16"/>
      <c r="C18" s="19"/>
      <c r="D18" s="19">
        <f>1500</f>
        <v>1500</v>
      </c>
      <c r="E18" s="19"/>
      <c r="F18" s="19"/>
      <c r="G18" s="19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19">
        <f>7092+124</f>
        <v>7216</v>
      </c>
      <c r="W18" s="26" t="s">
        <v>74</v>
      </c>
      <c r="X18" s="19"/>
      <c r="Y18" s="19"/>
      <c r="Z18" s="19"/>
    </row>
    <row r="19" ht="14.25" customHeight="1">
      <c r="A19" s="78">
        <v>45238.0</v>
      </c>
      <c r="B19" s="16"/>
      <c r="C19" s="19"/>
      <c r="D19" s="19">
        <f>10.5+9.5+150+9119.84</f>
        <v>9289.84</v>
      </c>
      <c r="E19" s="19"/>
      <c r="F19" s="19"/>
      <c r="G19" s="19"/>
      <c r="H19" s="77">
        <f>2735000+2735000</f>
        <v>5470000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19">
        <f>278307+10500+10500</f>
        <v>299307</v>
      </c>
      <c r="W19" s="26" t="s">
        <v>66</v>
      </c>
      <c r="X19" s="19"/>
      <c r="Y19" s="19"/>
      <c r="Z19" s="19"/>
    </row>
    <row r="20" ht="14.25" customHeight="1">
      <c r="A20" s="78">
        <v>45239.0</v>
      </c>
      <c r="B20" s="16"/>
      <c r="C20" s="19"/>
      <c r="D20" s="19">
        <f>5643.21+246.52+358.75</f>
        <v>6248.48</v>
      </c>
      <c r="E20" s="19"/>
      <c r="F20" s="19"/>
      <c r="G20" s="19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19">
        <f>10000+16500+1775+16500</f>
        <v>44775</v>
      </c>
      <c r="W20" s="26" t="s">
        <v>90</v>
      </c>
      <c r="X20" s="19"/>
      <c r="Y20" s="19"/>
      <c r="Z20" s="19"/>
    </row>
    <row r="21" ht="14.25" customHeight="1">
      <c r="A21" s="78">
        <v>45239.0</v>
      </c>
      <c r="B21" s="7"/>
      <c r="C21" s="19"/>
      <c r="D21" s="19">
        <f>99.5+299.5+2000+300</f>
        <v>2699</v>
      </c>
      <c r="E21" s="19"/>
      <c r="F21" s="19"/>
      <c r="G21" s="19"/>
      <c r="H21" s="77"/>
      <c r="I21" s="77"/>
      <c r="J21" s="77"/>
      <c r="K21" s="77">
        <f>46904+20000</f>
        <v>66904</v>
      </c>
      <c r="L21" s="77"/>
      <c r="M21" s="77">
        <f>27550</f>
        <v>27550</v>
      </c>
      <c r="N21" s="77"/>
      <c r="O21" s="77"/>
      <c r="P21" s="77"/>
      <c r="Q21" s="77"/>
      <c r="R21" s="77">
        <f>4800+978.54</f>
        <v>5778.54</v>
      </c>
      <c r="S21" s="77"/>
      <c r="T21" s="77"/>
      <c r="U21" s="77"/>
      <c r="V21" s="19">
        <f>24375+24375</f>
        <v>48750</v>
      </c>
      <c r="W21" s="26" t="s">
        <v>185</v>
      </c>
      <c r="X21" s="19"/>
      <c r="Y21" s="19"/>
      <c r="Z21" s="19"/>
    </row>
    <row r="22" ht="14.25" customHeight="1">
      <c r="A22" s="78">
        <v>45240.0</v>
      </c>
      <c r="B22" s="16"/>
      <c r="C22" s="19"/>
      <c r="D22" s="19">
        <f>13576.85+13.33</f>
        <v>13590.18</v>
      </c>
      <c r="E22" s="19"/>
      <c r="F22" s="19"/>
      <c r="G22" s="19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19">
        <f>1645.22+1887.1+536.7+1512.76</f>
        <v>5581.78</v>
      </c>
      <c r="W22" s="26" t="s">
        <v>189</v>
      </c>
      <c r="X22" s="19"/>
      <c r="Y22" s="19"/>
      <c r="Z22" s="19"/>
    </row>
    <row r="23" ht="14.25" customHeight="1">
      <c r="A23" s="78">
        <v>45240.0</v>
      </c>
      <c r="B23" s="7"/>
      <c r="C23" s="19"/>
      <c r="D23" s="19">
        <f>1.5+200+550</f>
        <v>751.5</v>
      </c>
      <c r="E23" s="19"/>
      <c r="F23" s="19"/>
      <c r="G23" s="19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19">
        <f>15500+16000</f>
        <v>31500</v>
      </c>
      <c r="W23" s="26" t="s">
        <v>73</v>
      </c>
      <c r="X23" s="19"/>
      <c r="Y23" s="19"/>
      <c r="Z23" s="19"/>
    </row>
    <row r="24" ht="14.25" customHeight="1">
      <c r="A24" s="78">
        <v>45241.0</v>
      </c>
      <c r="C24" s="19"/>
      <c r="D24" s="19">
        <f>2680.92+305.22+282.37</f>
        <v>3268.51</v>
      </c>
      <c r="E24" s="19"/>
      <c r="F24" s="19"/>
      <c r="G24" s="19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19">
        <f>90+1480+90</f>
        <v>1660</v>
      </c>
      <c r="W24" s="26" t="s">
        <v>29</v>
      </c>
      <c r="X24" s="19"/>
      <c r="Y24" s="19"/>
      <c r="Z24" s="19"/>
    </row>
    <row r="25" ht="14.25" customHeight="1">
      <c r="A25" s="78">
        <v>45241.0</v>
      </c>
      <c r="B25" s="10"/>
      <c r="C25" s="19"/>
      <c r="D25" s="19">
        <f>9.5+1000+100</f>
        <v>1109.5</v>
      </c>
      <c r="E25" s="19"/>
      <c r="F25" s="19"/>
      <c r="G25" s="19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19">
        <f>525</f>
        <v>525</v>
      </c>
      <c r="W25" s="26" t="s">
        <v>59</v>
      </c>
      <c r="X25" s="19"/>
      <c r="Y25" s="19"/>
      <c r="Z25" s="19"/>
    </row>
    <row r="26" ht="14.25" customHeight="1">
      <c r="A26" s="78">
        <v>45242.0</v>
      </c>
      <c r="B26" s="7"/>
      <c r="C26" s="7"/>
      <c r="D26" s="19">
        <f>2459.27</f>
        <v>2459.27</v>
      </c>
      <c r="E26" s="19"/>
      <c r="F26" s="19"/>
      <c r="G26" s="19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19">
        <f>35850</f>
        <v>35850</v>
      </c>
      <c r="W26" s="21" t="s">
        <v>332</v>
      </c>
      <c r="X26" s="19"/>
      <c r="Y26" s="19"/>
      <c r="Z26" s="19"/>
    </row>
    <row r="27" ht="14.25" customHeight="1">
      <c r="A27" s="78">
        <v>45242.0</v>
      </c>
      <c r="B27" s="7"/>
      <c r="C27" s="7"/>
      <c r="D27" s="19">
        <f>0.5+199.5+99.5+399.5+100+1000+98.7+98.7</f>
        <v>1996.4</v>
      </c>
      <c r="E27" s="19">
        <f>3300</f>
        <v>3300</v>
      </c>
      <c r="F27" s="19"/>
      <c r="G27" s="19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19">
        <f>20150+17000+19000+15000+24000</f>
        <v>95150</v>
      </c>
      <c r="W27" s="21" t="s">
        <v>316</v>
      </c>
      <c r="X27" s="19"/>
      <c r="Y27" s="19"/>
      <c r="Z27" s="19"/>
    </row>
    <row r="28" ht="14.25" customHeight="1">
      <c r="A28" s="78">
        <v>45243.0</v>
      </c>
      <c r="B28" s="13" t="s">
        <v>181</v>
      </c>
      <c r="C28" s="7">
        <f>982</f>
        <v>982</v>
      </c>
      <c r="D28" s="19">
        <f>20492.83+5197.58+1207.16</f>
        <v>26897.57</v>
      </c>
      <c r="E28" s="19"/>
      <c r="F28" s="19"/>
      <c r="G28" s="19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19">
        <f>105000</f>
        <v>105000</v>
      </c>
      <c r="W28" s="21" t="s">
        <v>333</v>
      </c>
      <c r="X28" s="19"/>
      <c r="Y28" s="19"/>
      <c r="Z28" s="19"/>
    </row>
    <row r="29" ht="14.25" customHeight="1">
      <c r="A29" s="78">
        <v>45243.0</v>
      </c>
      <c r="B29" s="16"/>
      <c r="C29" s="7"/>
      <c r="D29" s="19">
        <f>149.5+199.5+7000+9755.27+222</f>
        <v>17326.27</v>
      </c>
      <c r="E29" s="19"/>
      <c r="F29" s="19"/>
      <c r="G29" s="19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19">
        <f>5779.8</f>
        <v>5779.8</v>
      </c>
      <c r="W29" s="21" t="s">
        <v>309</v>
      </c>
      <c r="X29" s="19"/>
      <c r="Y29" s="19"/>
      <c r="Z29" s="19"/>
    </row>
    <row r="30" ht="14.25" customHeight="1">
      <c r="A30" s="78">
        <v>45244.0</v>
      </c>
      <c r="B30" s="13" t="s">
        <v>334</v>
      </c>
      <c r="C30" s="7">
        <f>71012</f>
        <v>71012</v>
      </c>
      <c r="D30" s="19">
        <f>11.16</f>
        <v>11.16</v>
      </c>
      <c r="E30" s="19"/>
      <c r="F30" s="19"/>
      <c r="G30" s="19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19">
        <f>42800</f>
        <v>42800</v>
      </c>
      <c r="W30" s="26" t="s">
        <v>54</v>
      </c>
      <c r="X30" s="19"/>
      <c r="Y30" s="19"/>
      <c r="Z30" s="19"/>
    </row>
    <row r="31" ht="14.25" customHeight="1">
      <c r="A31" s="78">
        <v>45244.0</v>
      </c>
      <c r="B31" s="7"/>
      <c r="C31" s="7"/>
      <c r="D31" s="19">
        <f>6000+24.5+0.5+49.5+2169.42</f>
        <v>8243.92</v>
      </c>
      <c r="E31" s="19">
        <f>720</f>
        <v>720</v>
      </c>
      <c r="F31" s="19"/>
      <c r="G31" s="19"/>
      <c r="H31" s="77">
        <f>1531522+765761+1914402+1148641.5+2297283</f>
        <v>7657609.5</v>
      </c>
      <c r="I31" s="77"/>
      <c r="J31" s="77"/>
      <c r="K31" s="77"/>
      <c r="L31" s="77"/>
      <c r="M31" s="77"/>
      <c r="N31" s="77"/>
      <c r="O31" s="77"/>
      <c r="P31" s="77"/>
      <c r="Q31" s="77"/>
      <c r="R31" s="77">
        <f>1970+2288.6</f>
        <v>4258.6</v>
      </c>
      <c r="S31" s="77"/>
      <c r="T31" s="77"/>
      <c r="U31" s="77"/>
      <c r="V31" s="19">
        <f>200</f>
        <v>200</v>
      </c>
      <c r="W31" s="21" t="s">
        <v>36</v>
      </c>
      <c r="X31" s="19"/>
      <c r="Y31" s="19"/>
      <c r="Z31" s="19"/>
    </row>
    <row r="32" ht="14.25" customHeight="1">
      <c r="A32" s="78">
        <v>45245.0</v>
      </c>
      <c r="B32" s="73" t="s">
        <v>335</v>
      </c>
      <c r="C32" s="19">
        <f>70000</f>
        <v>70000</v>
      </c>
      <c r="D32" s="19">
        <f>199.5+0.5</f>
        <v>200</v>
      </c>
      <c r="E32" s="19">
        <f>600</f>
        <v>600</v>
      </c>
      <c r="F32" s="19"/>
      <c r="G32" s="19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19">
        <f>1853.93</f>
        <v>1853.93</v>
      </c>
      <c r="W32" s="26" t="s">
        <v>105</v>
      </c>
      <c r="X32" s="19"/>
      <c r="Y32" s="19"/>
      <c r="Z32" s="19"/>
    </row>
    <row r="33" ht="14.25" customHeight="1">
      <c r="A33" s="78">
        <v>45245.0</v>
      </c>
      <c r="B33" s="16"/>
      <c r="C33" s="19"/>
      <c r="D33" s="19">
        <f>690.29+770.29</f>
        <v>1460.58</v>
      </c>
      <c r="E33" s="19"/>
      <c r="F33" s="19"/>
      <c r="G33" s="19"/>
      <c r="H33" s="77"/>
      <c r="I33" s="77"/>
      <c r="J33" s="77"/>
      <c r="K33" s="77"/>
      <c r="L33" s="77"/>
      <c r="M33" s="77">
        <f>18670</f>
        <v>18670</v>
      </c>
      <c r="N33" s="77"/>
      <c r="O33" s="77"/>
      <c r="P33" s="77"/>
      <c r="Q33" s="77"/>
      <c r="R33" s="77">
        <f>3247+1149+780</f>
        <v>5176</v>
      </c>
      <c r="S33" s="77">
        <f>90000</f>
        <v>90000</v>
      </c>
      <c r="T33" s="77"/>
      <c r="U33" s="77"/>
      <c r="V33" s="19">
        <f>54250</f>
        <v>54250</v>
      </c>
      <c r="W33" s="26" t="s">
        <v>71</v>
      </c>
      <c r="X33" s="19"/>
      <c r="Y33" s="19"/>
      <c r="Z33" s="19"/>
    </row>
    <row r="34" ht="14.25" customHeight="1">
      <c r="A34" s="78">
        <v>45246.0</v>
      </c>
      <c r="B34" s="73" t="s">
        <v>181</v>
      </c>
      <c r="C34" s="19">
        <f>491</f>
        <v>491</v>
      </c>
      <c r="D34" s="19">
        <f>500+16673.07</f>
        <v>17173.07</v>
      </c>
      <c r="E34" s="19"/>
      <c r="F34" s="19"/>
      <c r="G34" s="19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19">
        <f>4810+1560</f>
        <v>6370</v>
      </c>
      <c r="W34" s="26" t="s">
        <v>45</v>
      </c>
      <c r="X34" s="19"/>
      <c r="Y34" s="19"/>
      <c r="Z34" s="19"/>
    </row>
    <row r="35" ht="14.25" customHeight="1">
      <c r="A35" s="78">
        <v>45246.0</v>
      </c>
      <c r="B35" s="73" t="s">
        <v>322</v>
      </c>
      <c r="C35" s="19">
        <f>1078000</f>
        <v>1078000</v>
      </c>
      <c r="D35" s="19">
        <f>9.5+50+199.5+109960+3057.6</f>
        <v>113276.6</v>
      </c>
      <c r="E35" s="19"/>
      <c r="F35" s="19"/>
      <c r="G35" s="19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19">
        <f>22500</f>
        <v>22500</v>
      </c>
      <c r="W35" s="21" t="s">
        <v>336</v>
      </c>
      <c r="X35" s="19"/>
      <c r="Y35" s="19"/>
      <c r="Z35" s="19"/>
    </row>
    <row r="36" ht="14.25" customHeight="1">
      <c r="A36" s="78">
        <v>45247.0</v>
      </c>
      <c r="B36" s="73" t="s">
        <v>181</v>
      </c>
      <c r="C36" s="19">
        <f>2946</f>
        <v>2946</v>
      </c>
      <c r="D36" s="19">
        <f>1957.83+345.1</f>
        <v>2302.93</v>
      </c>
      <c r="E36" s="19"/>
      <c r="F36" s="19"/>
      <c r="G36" s="19"/>
      <c r="H36" s="77">
        <f>3631819.5+3221673.5+4621952.5+1848781+2773171.5</f>
        <v>16097398</v>
      </c>
      <c r="I36" s="77">
        <f>553.41</f>
        <v>553.41</v>
      </c>
      <c r="J36" s="77"/>
      <c r="K36" s="77"/>
      <c r="L36" s="77"/>
      <c r="M36" s="77">
        <f>69990</f>
        <v>69990</v>
      </c>
      <c r="N36" s="77">
        <f>9544.01</f>
        <v>9544.01</v>
      </c>
      <c r="O36" s="77"/>
      <c r="P36" s="77"/>
      <c r="Q36" s="77"/>
      <c r="R36" s="77"/>
      <c r="S36" s="77"/>
      <c r="T36" s="77"/>
      <c r="U36" s="77"/>
      <c r="V36" s="19">
        <f>374</f>
        <v>374</v>
      </c>
      <c r="W36" s="26" t="s">
        <v>337</v>
      </c>
      <c r="X36" s="19"/>
      <c r="Y36" s="19"/>
      <c r="Z36" s="19"/>
    </row>
    <row r="37" ht="14.25" customHeight="1">
      <c r="A37" s="78">
        <v>45247.0</v>
      </c>
      <c r="B37" s="13"/>
      <c r="C37" s="19"/>
      <c r="D37" s="19">
        <f>1323+200+196</f>
        <v>1719</v>
      </c>
      <c r="E37" s="19"/>
      <c r="F37" s="19"/>
      <c r="G37" s="19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>
        <f>887.04+400+6904.8+4631.08+4268.78+6904.8+62088.75</f>
        <v>86085.25</v>
      </c>
      <c r="S37" s="77"/>
      <c r="T37" s="77"/>
      <c r="U37" s="77"/>
      <c r="V37" s="19">
        <f>42500</f>
        <v>42500</v>
      </c>
      <c r="W37" s="21" t="s">
        <v>338</v>
      </c>
      <c r="X37" s="19"/>
      <c r="Y37" s="19"/>
      <c r="Z37" s="19"/>
    </row>
    <row r="38" ht="14.25" customHeight="1">
      <c r="A38" s="78">
        <v>45248.0</v>
      </c>
      <c r="B38" s="10"/>
      <c r="C38" s="19"/>
      <c r="D38" s="19">
        <f>5536.5+1633.41</f>
        <v>7169.91</v>
      </c>
      <c r="E38" s="19"/>
      <c r="F38" s="19"/>
      <c r="G38" s="19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19">
        <f>1600</f>
        <v>1600</v>
      </c>
      <c r="W38" s="21" t="s">
        <v>108</v>
      </c>
      <c r="X38" s="19"/>
      <c r="Y38" s="19"/>
      <c r="Z38" s="19"/>
    </row>
    <row r="39" ht="14.25" customHeight="1">
      <c r="A39" s="78">
        <v>45248.0</v>
      </c>
      <c r="B39" s="14"/>
      <c r="C39" s="19"/>
      <c r="D39" s="19">
        <f>0.5+0.5+9.5+9.5+0.5+50+1000</f>
        <v>1070.5</v>
      </c>
      <c r="E39" s="19">
        <f>240</f>
        <v>240</v>
      </c>
      <c r="F39" s="19"/>
      <c r="G39" s="19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19">
        <f>37620</f>
        <v>37620</v>
      </c>
      <c r="W39" s="21" t="s">
        <v>339</v>
      </c>
      <c r="X39" s="19"/>
      <c r="Y39" s="19"/>
      <c r="Z39" s="19"/>
    </row>
    <row r="40" ht="14.25" customHeight="1">
      <c r="A40" s="78">
        <v>45249.0</v>
      </c>
      <c r="B40" s="14"/>
      <c r="C40" s="19"/>
      <c r="D40" s="19">
        <f>700+2842.87</f>
        <v>3542.87</v>
      </c>
      <c r="E40" s="19"/>
      <c r="F40" s="19"/>
      <c r="G40" s="19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19"/>
      <c r="W40" s="21" t="s">
        <v>42</v>
      </c>
      <c r="X40" s="19"/>
      <c r="Y40" s="19"/>
      <c r="Z40" s="19"/>
    </row>
    <row r="41" ht="14.25" customHeight="1">
      <c r="A41" s="78">
        <v>45249.0</v>
      </c>
      <c r="B41" s="10"/>
      <c r="C41" s="19"/>
      <c r="D41" s="19">
        <f>250+9.5+326</f>
        <v>585.5</v>
      </c>
      <c r="E41" s="19"/>
      <c r="F41" s="19"/>
      <c r="G41" s="19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19">
        <f>524.7+943.4</f>
        <v>1468.1</v>
      </c>
      <c r="W41" s="21" t="s">
        <v>319</v>
      </c>
      <c r="X41" s="19"/>
      <c r="Y41" s="19"/>
      <c r="Z41" s="19"/>
    </row>
    <row r="42" ht="14.25" customHeight="1">
      <c r="A42" s="78">
        <v>45250.0</v>
      </c>
      <c r="B42" s="14" t="s">
        <v>340</v>
      </c>
      <c r="C42" s="18">
        <v>104081.47</v>
      </c>
      <c r="D42" s="19">
        <f>9.5+4.5+1519</f>
        <v>1533</v>
      </c>
      <c r="E42" s="19"/>
      <c r="F42" s="19"/>
      <c r="G42" s="19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19">
        <f>920</f>
        <v>920</v>
      </c>
      <c r="W42" s="21" t="s">
        <v>341</v>
      </c>
      <c r="X42" s="19"/>
      <c r="Y42" s="19"/>
      <c r="Z42" s="19"/>
    </row>
    <row r="43" ht="14.25" customHeight="1">
      <c r="A43" s="78">
        <v>45250.0</v>
      </c>
      <c r="B43" s="14" t="s">
        <v>181</v>
      </c>
      <c r="C43" s="19">
        <f>982</f>
        <v>982</v>
      </c>
      <c r="D43" s="19">
        <f>1049.79+507.4+322.7</f>
        <v>1879.89</v>
      </c>
      <c r="E43" s="19"/>
      <c r="F43" s="19"/>
      <c r="G43" s="19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19">
        <f>38167.5+38167</f>
        <v>76334.5</v>
      </c>
      <c r="W43" s="21" t="s">
        <v>342</v>
      </c>
      <c r="X43" s="19"/>
      <c r="Y43" s="19"/>
      <c r="Z43" s="19"/>
    </row>
    <row r="44" ht="14.25" customHeight="1">
      <c r="A44" s="78">
        <v>45251.0</v>
      </c>
      <c r="B44" s="7"/>
      <c r="C44" s="7"/>
      <c r="D44" s="9">
        <f>859.94</f>
        <v>859.94</v>
      </c>
      <c r="H44" s="82"/>
      <c r="I44" s="82">
        <f>4500</f>
        <v>4500</v>
      </c>
      <c r="J44" s="82"/>
      <c r="K44" s="82">
        <f>539004.36</f>
        <v>539004.36</v>
      </c>
      <c r="L44" s="82"/>
      <c r="M44" s="82">
        <f>16020</f>
        <v>16020</v>
      </c>
      <c r="N44" s="82"/>
      <c r="O44" s="82"/>
      <c r="P44" s="82"/>
      <c r="Q44" s="82"/>
      <c r="R44" s="82">
        <f>550+1066.04</f>
        <v>1616.04</v>
      </c>
      <c r="S44" s="82"/>
      <c r="T44" s="82"/>
      <c r="U44" s="82"/>
      <c r="V44" s="9">
        <f>33659.12+38167.5</f>
        <v>71826.62</v>
      </c>
      <c r="W44" s="21" t="s">
        <v>343</v>
      </c>
    </row>
    <row r="45" ht="14.25" customHeight="1">
      <c r="A45" s="78">
        <v>45251.0</v>
      </c>
      <c r="B45" s="16"/>
      <c r="C45" s="7"/>
      <c r="D45" s="9">
        <f>4999.5+3724</f>
        <v>8723.5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9">
        <f>2124</f>
        <v>2124</v>
      </c>
      <c r="W45" s="21" t="s">
        <v>344</v>
      </c>
    </row>
    <row r="46" ht="14.25" customHeight="1">
      <c r="A46" s="78">
        <v>45252.0</v>
      </c>
      <c r="B46" s="13"/>
      <c r="C46" s="7"/>
      <c r="D46" s="9">
        <f>476.79</f>
        <v>476.79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9">
        <f>18000</f>
        <v>18000</v>
      </c>
      <c r="W46" s="21" t="s">
        <v>345</v>
      </c>
    </row>
    <row r="47" ht="14.25" customHeight="1">
      <c r="A47" s="78">
        <v>45252.0</v>
      </c>
      <c r="B47" s="7"/>
      <c r="C47" s="7"/>
      <c r="D47" s="9">
        <f>200+196+196+196+98</f>
        <v>886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9">
        <f>4600</f>
        <v>4600</v>
      </c>
      <c r="W47" s="21" t="s">
        <v>346</v>
      </c>
    </row>
    <row r="48" ht="14.25" customHeight="1">
      <c r="A48" s="78">
        <v>45253.0</v>
      </c>
      <c r="B48" s="13"/>
      <c r="C48" s="7"/>
      <c r="D48" s="9">
        <f>4046.42+188.99+338.88</f>
        <v>4574.29</v>
      </c>
      <c r="H48" s="82">
        <f>219000</f>
        <v>219000</v>
      </c>
      <c r="I48" s="82"/>
      <c r="J48" s="82"/>
      <c r="K48" s="82"/>
      <c r="L48" s="82"/>
      <c r="M48" s="82"/>
      <c r="N48" s="82"/>
      <c r="O48" s="82"/>
      <c r="P48" s="82"/>
      <c r="Q48" s="82"/>
      <c r="R48" s="82">
        <f>4399.92</f>
        <v>4399.92</v>
      </c>
      <c r="S48" s="82"/>
      <c r="T48" s="82"/>
      <c r="U48" s="82"/>
      <c r="V48" s="9">
        <f>2500</f>
        <v>2500</v>
      </c>
      <c r="W48" s="21" t="s">
        <v>347</v>
      </c>
    </row>
    <row r="49" ht="14.25" customHeight="1">
      <c r="A49" s="78">
        <v>45253.0</v>
      </c>
      <c r="B49" s="13"/>
      <c r="C49" s="7"/>
      <c r="D49" s="9">
        <f>9.5+999.5+1000+199.5+500+686+364+299.5+0.5+350+3724+100+123.37</f>
        <v>8355.87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9">
        <f>26250+2000</f>
        <v>28250</v>
      </c>
      <c r="W49" s="21" t="s">
        <v>348</v>
      </c>
    </row>
    <row r="50" ht="14.25" customHeight="1">
      <c r="A50" s="78">
        <v>45254.0</v>
      </c>
      <c r="B50" s="13"/>
      <c r="C50" s="7"/>
      <c r="D50" s="9">
        <f>3183.37+38.09+392</f>
        <v>3613.46</v>
      </c>
      <c r="H50" s="82"/>
      <c r="I50" s="82"/>
      <c r="J50" s="82"/>
      <c r="K50" s="82"/>
      <c r="L50" s="82"/>
      <c r="M50" s="82">
        <f>27550+25098</f>
        <v>52648</v>
      </c>
      <c r="N50" s="82"/>
      <c r="O50" s="82"/>
      <c r="P50" s="82">
        <f>33180+20496+24130</f>
        <v>77806</v>
      </c>
      <c r="Q50" s="82"/>
      <c r="R50" s="82"/>
      <c r="S50" s="82"/>
      <c r="T50" s="82"/>
      <c r="U50" s="82"/>
      <c r="V50" s="9">
        <f>19250</f>
        <v>19250</v>
      </c>
      <c r="W50" s="21" t="s">
        <v>349</v>
      </c>
    </row>
    <row r="51" ht="14.25" customHeight="1">
      <c r="A51" s="78">
        <v>45254.0</v>
      </c>
      <c r="B51" s="13" t="s">
        <v>350</v>
      </c>
      <c r="C51" s="7">
        <f>19920</f>
        <v>19920</v>
      </c>
      <c r="D51" s="9">
        <f>9.5+0.5+9.5+0.5+0.5+1000+500+980+800+500</f>
        <v>3800.5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>
        <f>1961</f>
        <v>1961</v>
      </c>
      <c r="S51" s="82"/>
      <c r="T51" s="82"/>
      <c r="U51" s="82"/>
      <c r="V51" s="9">
        <f>4438.2</f>
        <v>4438.2</v>
      </c>
      <c r="W51" s="21" t="s">
        <v>75</v>
      </c>
    </row>
    <row r="52" ht="14.25" customHeight="1">
      <c r="A52" s="78">
        <v>45255.0</v>
      </c>
      <c r="B52" s="13"/>
      <c r="C52" s="7"/>
      <c r="D52" s="9">
        <f>8000+619.74+114.89</f>
        <v>8734.63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9">
        <f>12790</f>
        <v>12790</v>
      </c>
      <c r="W52" s="21" t="s">
        <v>351</v>
      </c>
    </row>
    <row r="53" ht="14.25" customHeight="1">
      <c r="A53" s="78">
        <v>45255.0</v>
      </c>
      <c r="B53" s="13"/>
      <c r="C53" s="7"/>
      <c r="D53" s="9">
        <f>0.5+99.5+0.5+0.5+99.5+1000+899.5+392</f>
        <v>2492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</row>
    <row r="54" ht="14.25" customHeight="1">
      <c r="A54" s="78">
        <v>45256.0</v>
      </c>
      <c r="B54" s="13"/>
      <c r="C54" s="7"/>
      <c r="D54" s="9">
        <f>2190.01+54.19</f>
        <v>2244.2</v>
      </c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</row>
    <row r="55" ht="14.25" customHeight="1">
      <c r="A55" s="78">
        <v>45256.0</v>
      </c>
      <c r="B55" s="13"/>
      <c r="C55" s="7"/>
      <c r="D55" s="9">
        <f>199.5+1000</f>
        <v>1199.5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</row>
    <row r="56" ht="14.25" customHeight="1">
      <c r="A56" s="78">
        <v>45257.0</v>
      </c>
      <c r="B56" s="13" t="s">
        <v>181</v>
      </c>
      <c r="C56" s="7">
        <f>982</f>
        <v>982</v>
      </c>
      <c r="D56" s="9">
        <f>2565.79+1739.71</f>
        <v>4305.5</v>
      </c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</row>
    <row r="57" ht="14.25" customHeight="1">
      <c r="A57" s="78">
        <v>45257.0</v>
      </c>
      <c r="B57" s="13"/>
      <c r="C57" s="7"/>
      <c r="D57" s="9">
        <f>300+500+9.5+499.5+0.5+150+784+196</f>
        <v>2439.5</v>
      </c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</row>
    <row r="58" ht="14.25" customHeight="1">
      <c r="A58" s="78">
        <v>45258.0</v>
      </c>
      <c r="B58" s="73"/>
      <c r="D58" s="9">
        <f>1383.31</f>
        <v>1383.31</v>
      </c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</row>
    <row r="59" ht="14.25" customHeight="1">
      <c r="A59" s="78">
        <v>45258.0</v>
      </c>
      <c r="B59" s="21" t="s">
        <v>293</v>
      </c>
      <c r="C59" s="9">
        <f>35000</f>
        <v>35000</v>
      </c>
      <c r="D59" s="9">
        <f>0.5+0.5+300+4890</f>
        <v>5191</v>
      </c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</row>
    <row r="60" ht="14.25" customHeight="1">
      <c r="A60" s="78">
        <v>45259.0</v>
      </c>
      <c r="D60" s="9">
        <f>87.55+3.27</f>
        <v>90.82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>
        <f>599+450+713</f>
        <v>1762</v>
      </c>
      <c r="S60" s="82"/>
      <c r="T60" s="82"/>
      <c r="U60" s="82"/>
    </row>
    <row r="61" ht="14.25" customHeight="1">
      <c r="A61" s="78">
        <v>45259.0</v>
      </c>
      <c r="B61" s="21" t="s">
        <v>352</v>
      </c>
      <c r="C61" s="9">
        <f>200000</f>
        <v>200000</v>
      </c>
      <c r="D61" s="9">
        <f>5086</f>
        <v>5086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</row>
    <row r="62" ht="14.25" customHeight="1">
      <c r="A62" s="78">
        <v>45260.0</v>
      </c>
      <c r="B62" s="21" t="s">
        <v>181</v>
      </c>
      <c r="C62" s="9">
        <f>15712</f>
        <v>15712</v>
      </c>
      <c r="D62" s="9">
        <f>5453.22+32.37</f>
        <v>5485.59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</row>
    <row r="63" ht="14.25" customHeight="1">
      <c r="A63" s="78">
        <v>45260.0</v>
      </c>
      <c r="B63" s="21" t="s">
        <v>353</v>
      </c>
      <c r="C63" s="9">
        <f>4500</f>
        <v>4500</v>
      </c>
      <c r="D63" s="9">
        <f>0.5+9.5+129+7791+3364.34</f>
        <v>11294.34</v>
      </c>
      <c r="G63" s="9">
        <f>19.72</f>
        <v>19.72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</row>
    <row r="64" ht="14.25" customHeight="1">
      <c r="A64" s="78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</row>
    <row r="65" ht="14.25" customHeight="1">
      <c r="A65" s="78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</row>
    <row r="66" ht="14.25" customHeight="1">
      <c r="A66" s="37" t="s">
        <v>50</v>
      </c>
      <c r="B66" s="24"/>
      <c r="C66" s="24">
        <f>SUM(C4:C65)</f>
        <v>1663720.1</v>
      </c>
      <c r="D66" s="24">
        <f t="shared" ref="D66:V66" si="1">SUM(D3:D65)</f>
        <v>373840.43</v>
      </c>
      <c r="E66" s="24">
        <f t="shared" si="1"/>
        <v>5520</v>
      </c>
      <c r="F66" s="24">
        <f t="shared" si="1"/>
        <v>0</v>
      </c>
      <c r="G66" s="24">
        <f t="shared" si="1"/>
        <v>19.72</v>
      </c>
      <c r="H66" s="83">
        <f t="shared" si="1"/>
        <v>43846668</v>
      </c>
      <c r="I66" s="83">
        <f t="shared" si="1"/>
        <v>55053.41</v>
      </c>
      <c r="J66" s="83">
        <f t="shared" si="1"/>
        <v>0</v>
      </c>
      <c r="K66" s="83">
        <f t="shared" si="1"/>
        <v>776135.14</v>
      </c>
      <c r="L66" s="83">
        <f t="shared" si="1"/>
        <v>1000000</v>
      </c>
      <c r="M66" s="83">
        <f t="shared" si="1"/>
        <v>184878</v>
      </c>
      <c r="N66" s="83">
        <f t="shared" si="1"/>
        <v>9544.01</v>
      </c>
      <c r="O66" s="83">
        <f t="shared" si="1"/>
        <v>0</v>
      </c>
      <c r="P66" s="83">
        <f t="shared" si="1"/>
        <v>77806</v>
      </c>
      <c r="Q66" s="83">
        <f t="shared" si="1"/>
        <v>0</v>
      </c>
      <c r="R66" s="83">
        <f t="shared" si="1"/>
        <v>280011.91</v>
      </c>
      <c r="S66" s="83">
        <f t="shared" si="1"/>
        <v>105000</v>
      </c>
      <c r="T66" s="83">
        <f t="shared" si="1"/>
        <v>0</v>
      </c>
      <c r="U66" s="83">
        <f t="shared" si="1"/>
        <v>0</v>
      </c>
      <c r="V66" s="24">
        <f t="shared" si="1"/>
        <v>1680418.99</v>
      </c>
      <c r="W66" s="25"/>
      <c r="X66" s="25"/>
      <c r="Y66" s="25"/>
      <c r="Z66" s="25"/>
    </row>
    <row r="67" ht="14.25" customHeight="1">
      <c r="A67" s="38"/>
    </row>
    <row r="68" ht="14.25" customHeight="1">
      <c r="A68" s="38"/>
      <c r="B68" s="7"/>
      <c r="C68" s="7"/>
      <c r="D68" s="7"/>
    </row>
    <row r="69" ht="14.25" customHeight="1">
      <c r="A69" s="38"/>
      <c r="B69" s="7"/>
      <c r="C69" s="7"/>
      <c r="D69" s="7"/>
    </row>
    <row r="70" ht="14.25" customHeight="1">
      <c r="A70" s="38"/>
      <c r="B70" s="7"/>
      <c r="C70" s="7"/>
      <c r="D70" s="7"/>
    </row>
    <row r="71" ht="14.25" customHeight="1">
      <c r="A71" s="38"/>
      <c r="B71" s="7"/>
      <c r="C71" s="7"/>
      <c r="D71" s="7"/>
    </row>
    <row r="72" ht="14.25" customHeight="1">
      <c r="A72" s="38"/>
      <c r="B72" s="7"/>
      <c r="C72" s="7"/>
      <c r="D72" s="7"/>
    </row>
    <row r="73" ht="14.25" customHeight="1">
      <c r="A73" s="38"/>
      <c r="B73" s="7"/>
      <c r="C73" s="7"/>
      <c r="D73" s="7"/>
    </row>
    <row r="74" ht="14.25" customHeight="1">
      <c r="A74" s="38"/>
      <c r="B74" s="7"/>
      <c r="C74" s="7"/>
      <c r="D74" s="7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68" t="s">
        <v>294</v>
      </c>
      <c r="P2" s="68" t="s">
        <v>324</v>
      </c>
      <c r="Q2" s="2" t="s">
        <v>139</v>
      </c>
      <c r="R2" s="2" t="s">
        <v>212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8">
        <f>5+5+5+5</f>
        <v>20</v>
      </c>
      <c r="W3" s="10" t="s">
        <v>24</v>
      </c>
      <c r="X3" s="19"/>
      <c r="Y3" s="19"/>
      <c r="Z3" s="19"/>
    </row>
    <row r="4" ht="14.25" customHeight="1">
      <c r="A4" s="78">
        <v>45261.0</v>
      </c>
      <c r="B4" s="14" t="s">
        <v>354</v>
      </c>
      <c r="C4" s="40">
        <f>155700</f>
        <v>155700</v>
      </c>
      <c r="D4" s="19">
        <f>2573.4+360.83+1000+11155.34</f>
        <v>15089.57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>
        <f>19920</f>
        <v>19920</v>
      </c>
      <c r="Q4" s="19"/>
      <c r="R4" s="19">
        <f>6400+16200+780</f>
        <v>23380</v>
      </c>
      <c r="S4" s="19"/>
      <c r="T4" s="19"/>
      <c r="U4" s="19"/>
      <c r="V4" s="19"/>
      <c r="W4" s="26" t="s">
        <v>47</v>
      </c>
      <c r="X4" s="19"/>
      <c r="Y4" s="19"/>
      <c r="Z4" s="19"/>
    </row>
    <row r="5" ht="14.25" customHeight="1">
      <c r="A5" s="78">
        <v>45261.0</v>
      </c>
      <c r="B5" s="84" t="s">
        <v>355</v>
      </c>
      <c r="C5" s="85">
        <v>363535.0</v>
      </c>
      <c r="D5" s="19">
        <f>300+1000+49.5</f>
        <v>1349.5</v>
      </c>
      <c r="E5" s="19">
        <f>600</f>
        <v>600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6" t="s">
        <v>183</v>
      </c>
      <c r="X5" s="19"/>
      <c r="Y5" s="19"/>
      <c r="Z5" s="19"/>
    </row>
    <row r="6" ht="14.25" customHeight="1">
      <c r="A6" s="78">
        <v>45262.0</v>
      </c>
      <c r="B6" s="14"/>
      <c r="C6" s="40"/>
      <c r="D6" s="19">
        <f>2071.31+469.32+205.37</f>
        <v>2746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6" t="s">
        <v>295</v>
      </c>
      <c r="X6" s="19"/>
      <c r="Y6" s="19"/>
      <c r="Z6" s="19"/>
    </row>
    <row r="7" ht="14.25" customHeight="1">
      <c r="A7" s="78">
        <v>45262.0</v>
      </c>
      <c r="B7" s="86"/>
      <c r="C7" s="87"/>
      <c r="D7" s="19">
        <f>9.5+9.5+200+500+500</f>
        <v>1219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4" t="s">
        <v>325</v>
      </c>
      <c r="X7" s="19"/>
      <c r="Y7" s="19"/>
      <c r="Z7" s="19"/>
    </row>
    <row r="8" ht="14.25" customHeight="1">
      <c r="A8" s="78">
        <v>45263.0</v>
      </c>
      <c r="B8" s="73"/>
      <c r="C8" s="18"/>
      <c r="D8" s="19">
        <f>1653.15+850.38+135.48</f>
        <v>2639.01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6" t="s">
        <v>65</v>
      </c>
      <c r="X8" s="19"/>
      <c r="Y8" s="19"/>
      <c r="Z8" s="19"/>
    </row>
    <row r="9" ht="14.25" customHeight="1">
      <c r="A9" s="78">
        <v>45263.0</v>
      </c>
      <c r="B9" s="73"/>
      <c r="C9" s="19"/>
      <c r="D9" s="19">
        <f>0.5+0.5+199.5+5000</f>
        <v>5200.5</v>
      </c>
      <c r="E9" s="19">
        <f>60</f>
        <v>60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6" t="s">
        <v>44</v>
      </c>
      <c r="X9" s="19"/>
      <c r="Y9" s="19"/>
      <c r="Z9" s="19"/>
    </row>
    <row r="10" ht="14.25" customHeight="1">
      <c r="A10" s="78">
        <v>45264.0</v>
      </c>
      <c r="B10" s="73" t="s">
        <v>356</v>
      </c>
      <c r="C10" s="19">
        <f>200000</f>
        <v>200000</v>
      </c>
      <c r="D10" s="19">
        <f>314.97</f>
        <v>314.97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4" t="s">
        <v>328</v>
      </c>
      <c r="X10" s="19"/>
      <c r="Y10" s="19"/>
      <c r="Z10" s="19"/>
    </row>
    <row r="11" ht="14.25" customHeight="1">
      <c r="A11" s="78">
        <v>45264.0</v>
      </c>
      <c r="B11" s="88" t="s">
        <v>357</v>
      </c>
      <c r="C11" s="89">
        <v>375151.9</v>
      </c>
      <c r="D11" s="19">
        <f>0.5+5439</f>
        <v>5439.5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8" t="s">
        <v>329</v>
      </c>
      <c r="X11" s="19"/>
      <c r="Y11" s="19"/>
      <c r="Z11" s="19"/>
    </row>
    <row r="12" ht="14.25" customHeight="1">
      <c r="A12" s="78">
        <v>45265.0</v>
      </c>
      <c r="B12" s="73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1" t="s">
        <v>330</v>
      </c>
      <c r="X12" s="19"/>
      <c r="Y12" s="19"/>
      <c r="Z12" s="19"/>
    </row>
    <row r="13" ht="14.25" customHeight="1">
      <c r="A13" s="78">
        <v>45265.0</v>
      </c>
      <c r="B13" s="80"/>
      <c r="C13" s="8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4" t="s">
        <v>31</v>
      </c>
      <c r="X13" s="19"/>
      <c r="Y13" s="19"/>
      <c r="Z13" s="19"/>
    </row>
    <row r="14" ht="14.25" customHeight="1">
      <c r="A14" s="78">
        <v>45266.0</v>
      </c>
      <c r="B14" s="16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" t="s">
        <v>32</v>
      </c>
      <c r="X14" s="19"/>
      <c r="Y14" s="19"/>
      <c r="Z14" s="19"/>
    </row>
    <row r="15" ht="14.25" customHeight="1">
      <c r="A15" s="78">
        <v>45266.0</v>
      </c>
      <c r="B15" s="73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4" t="s">
        <v>34</v>
      </c>
      <c r="X15" s="19"/>
      <c r="Y15" s="19"/>
      <c r="Z15" s="19"/>
    </row>
    <row r="16" ht="14.25" customHeight="1">
      <c r="A16" s="78">
        <v>45267.0</v>
      </c>
      <c r="B16" s="10"/>
      <c r="C16" s="7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6" t="s">
        <v>27</v>
      </c>
      <c r="X16" s="19"/>
      <c r="Y16" s="19"/>
      <c r="Z16" s="19"/>
    </row>
    <row r="17" ht="14.25" customHeight="1">
      <c r="A17" s="78">
        <v>45267.0</v>
      </c>
      <c r="B17" s="10"/>
      <c r="C17" s="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4" t="s">
        <v>331</v>
      </c>
      <c r="X17" s="19"/>
      <c r="Y17" s="19"/>
      <c r="Z17" s="19"/>
    </row>
    <row r="18" ht="14.25" customHeight="1">
      <c r="A18" s="78">
        <v>45268.0</v>
      </c>
      <c r="B18" s="1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6" t="s">
        <v>74</v>
      </c>
      <c r="X18" s="19"/>
      <c r="Y18" s="19"/>
      <c r="Z18" s="19"/>
    </row>
    <row r="19" ht="14.25" customHeight="1">
      <c r="A19" s="78">
        <v>45268.0</v>
      </c>
      <c r="B19" s="16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6" t="s">
        <v>66</v>
      </c>
      <c r="X19" s="19"/>
      <c r="Y19" s="19"/>
      <c r="Z19" s="19"/>
    </row>
    <row r="20" ht="14.25" customHeight="1">
      <c r="A20" s="78"/>
      <c r="B20" s="16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6" t="s">
        <v>90</v>
      </c>
      <c r="X20" s="19"/>
      <c r="Y20" s="19"/>
      <c r="Z20" s="19"/>
    </row>
    <row r="21" ht="14.25" customHeight="1">
      <c r="A21" s="78"/>
      <c r="B21" s="7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6" t="s">
        <v>185</v>
      </c>
      <c r="X21" s="19"/>
      <c r="Y21" s="19"/>
      <c r="Z21" s="19"/>
    </row>
    <row r="22" ht="14.25" customHeight="1">
      <c r="A22" s="78"/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6" t="s">
        <v>189</v>
      </c>
      <c r="X22" s="19"/>
      <c r="Y22" s="19"/>
      <c r="Z22" s="19"/>
    </row>
    <row r="23" ht="14.25" customHeight="1">
      <c r="A23" s="78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6" t="s">
        <v>73</v>
      </c>
      <c r="X23" s="19"/>
      <c r="Y23" s="19"/>
      <c r="Z23" s="19"/>
    </row>
    <row r="24" ht="14.25" customHeight="1">
      <c r="A24" s="7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6" t="s">
        <v>29</v>
      </c>
      <c r="X24" s="19"/>
      <c r="Y24" s="19"/>
      <c r="Z24" s="19"/>
    </row>
    <row r="25" ht="14.25" customHeight="1">
      <c r="A25" s="78"/>
      <c r="B25" s="1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6" t="s">
        <v>59</v>
      </c>
      <c r="X25" s="19"/>
      <c r="Y25" s="19"/>
      <c r="Z25" s="19"/>
    </row>
    <row r="26" ht="14.25" customHeight="1">
      <c r="A26" s="78"/>
      <c r="B26" s="7"/>
      <c r="C26" s="7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 t="s">
        <v>332</v>
      </c>
      <c r="X26" s="19"/>
      <c r="Y26" s="19"/>
      <c r="Z26" s="19"/>
    </row>
    <row r="27" ht="14.25" customHeight="1">
      <c r="A27" s="78"/>
      <c r="B27" s="7"/>
      <c r="C27" s="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1" t="s">
        <v>316</v>
      </c>
      <c r="X27" s="19"/>
      <c r="Y27" s="19"/>
      <c r="Z27" s="19"/>
    </row>
    <row r="28" ht="14.25" customHeight="1">
      <c r="A28" s="78"/>
      <c r="B28" s="13"/>
      <c r="C28" s="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1" t="s">
        <v>333</v>
      </c>
      <c r="X28" s="19"/>
      <c r="Y28" s="19"/>
      <c r="Z28" s="19"/>
    </row>
    <row r="29" ht="14.25" customHeight="1">
      <c r="A29" s="78"/>
      <c r="B29" s="16"/>
      <c r="C29" s="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1" t="s">
        <v>309</v>
      </c>
      <c r="X29" s="19"/>
      <c r="Y29" s="19"/>
      <c r="Z29" s="19"/>
    </row>
    <row r="30" ht="14.25" customHeight="1">
      <c r="A30" s="78"/>
      <c r="B30" s="13"/>
      <c r="C30" s="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6" t="s">
        <v>54</v>
      </c>
      <c r="X30" s="19"/>
      <c r="Y30" s="19"/>
      <c r="Z30" s="19"/>
    </row>
    <row r="31" ht="14.25" customHeight="1">
      <c r="A31" s="78"/>
      <c r="B31" s="7"/>
      <c r="C31" s="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21" t="s">
        <v>36</v>
      </c>
      <c r="X31" s="19"/>
      <c r="Y31" s="19"/>
      <c r="Z31" s="19"/>
    </row>
    <row r="32" ht="14.25" customHeight="1">
      <c r="A32" s="78"/>
      <c r="B32" s="73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6" t="s">
        <v>105</v>
      </c>
      <c r="X32" s="19"/>
      <c r="Y32" s="19"/>
      <c r="Z32" s="19"/>
    </row>
    <row r="33" ht="14.25" customHeight="1">
      <c r="A33" s="78"/>
      <c r="B33" s="1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>
        <f>65000</f>
        <v>65000</v>
      </c>
      <c r="W33" s="26" t="s">
        <v>71</v>
      </c>
      <c r="X33" s="19"/>
      <c r="Y33" s="19"/>
      <c r="Z33" s="19"/>
    </row>
    <row r="34" ht="14.25" customHeight="1">
      <c r="A34" s="78"/>
      <c r="B34" s="73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6" t="s">
        <v>45</v>
      </c>
      <c r="X34" s="19"/>
      <c r="Y34" s="19"/>
      <c r="Z34" s="19"/>
    </row>
    <row r="35" ht="14.25" customHeight="1">
      <c r="A35" s="78"/>
      <c r="B35" s="7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1" t="s">
        <v>336</v>
      </c>
      <c r="X35" s="19"/>
      <c r="Y35" s="19"/>
      <c r="Z35" s="19"/>
    </row>
    <row r="36" ht="14.25" customHeight="1">
      <c r="A36" s="78"/>
      <c r="B36" s="7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26" t="s">
        <v>337</v>
      </c>
      <c r="X36" s="19"/>
      <c r="Y36" s="19"/>
      <c r="Z36" s="19"/>
    </row>
    <row r="37" ht="14.25" customHeight="1">
      <c r="A37" s="78"/>
      <c r="B37" s="13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1" t="s">
        <v>338</v>
      </c>
      <c r="X37" s="19"/>
      <c r="Y37" s="19"/>
      <c r="Z37" s="19"/>
    </row>
    <row r="38" ht="14.25" customHeight="1">
      <c r="A38" s="78"/>
      <c r="B38" s="1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1" t="s">
        <v>108</v>
      </c>
      <c r="X38" s="19"/>
      <c r="Y38" s="19"/>
      <c r="Z38" s="19"/>
    </row>
    <row r="39" ht="14.25" customHeight="1">
      <c r="A39" s="78"/>
      <c r="B39" s="14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1" t="s">
        <v>339</v>
      </c>
      <c r="X39" s="19"/>
      <c r="Y39" s="19"/>
      <c r="Z39" s="19"/>
    </row>
    <row r="40" ht="14.25" customHeight="1">
      <c r="A40" s="78"/>
      <c r="B40" s="14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1" t="s">
        <v>42</v>
      </c>
      <c r="X40" s="19"/>
      <c r="Y40" s="19"/>
      <c r="Z40" s="19"/>
    </row>
    <row r="41" ht="14.25" customHeight="1">
      <c r="A41" s="78"/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1" t="s">
        <v>319</v>
      </c>
      <c r="X41" s="19"/>
      <c r="Y41" s="19"/>
      <c r="Z41" s="19"/>
    </row>
    <row r="42" ht="14.25" customHeight="1">
      <c r="A42" s="78"/>
      <c r="B42" s="14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1" t="s">
        <v>341</v>
      </c>
      <c r="X42" s="19"/>
      <c r="Y42" s="19"/>
      <c r="Z42" s="19"/>
    </row>
    <row r="43" ht="14.25" customHeight="1">
      <c r="A43" s="78"/>
      <c r="B43" s="14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1" t="s">
        <v>342</v>
      </c>
      <c r="X43" s="19"/>
      <c r="Y43" s="19"/>
      <c r="Z43" s="19"/>
    </row>
    <row r="44" ht="14.25" customHeight="1">
      <c r="A44" s="78"/>
      <c r="B44" s="7"/>
      <c r="C44" s="7"/>
      <c r="W44" s="21" t="s">
        <v>343</v>
      </c>
    </row>
    <row r="45" ht="14.25" customHeight="1">
      <c r="A45" s="78"/>
      <c r="B45" s="16"/>
      <c r="C45" s="7"/>
      <c r="W45" s="21" t="s">
        <v>344</v>
      </c>
    </row>
    <row r="46" ht="14.25" customHeight="1">
      <c r="A46" s="78"/>
      <c r="B46" s="13"/>
      <c r="C46" s="7"/>
      <c r="W46" s="21" t="s">
        <v>345</v>
      </c>
    </row>
    <row r="47" ht="14.25" customHeight="1">
      <c r="A47" s="78"/>
      <c r="B47" s="7"/>
      <c r="C47" s="7"/>
      <c r="W47" s="21" t="s">
        <v>346</v>
      </c>
    </row>
    <row r="48" ht="14.25" customHeight="1">
      <c r="A48" s="78"/>
      <c r="B48" s="13"/>
      <c r="C48" s="7"/>
      <c r="W48" s="21" t="s">
        <v>347</v>
      </c>
    </row>
    <row r="49" ht="14.25" customHeight="1">
      <c r="A49" s="78"/>
      <c r="B49" s="13"/>
      <c r="C49" s="7"/>
      <c r="W49" s="21" t="s">
        <v>348</v>
      </c>
    </row>
    <row r="50" ht="14.25" customHeight="1">
      <c r="A50" s="78"/>
      <c r="B50" s="13"/>
      <c r="C50" s="7"/>
      <c r="W50" s="21" t="s">
        <v>349</v>
      </c>
    </row>
    <row r="51" ht="14.25" customHeight="1">
      <c r="A51" s="78"/>
      <c r="B51" s="13"/>
      <c r="C51" s="7"/>
      <c r="W51" s="21" t="s">
        <v>75</v>
      </c>
    </row>
    <row r="52" ht="14.25" customHeight="1">
      <c r="A52" s="78"/>
      <c r="B52" s="13"/>
      <c r="C52" s="7"/>
      <c r="V52" s="9">
        <f>2519</f>
        <v>2519</v>
      </c>
      <c r="W52" s="21" t="s">
        <v>358</v>
      </c>
    </row>
    <row r="53" ht="14.25" customHeight="1">
      <c r="A53" s="78"/>
      <c r="B53" s="13"/>
      <c r="C53" s="7"/>
    </row>
    <row r="54" ht="14.25" customHeight="1">
      <c r="A54" s="78"/>
      <c r="B54" s="13"/>
      <c r="C54" s="7"/>
    </row>
    <row r="55" ht="14.25" customHeight="1">
      <c r="A55" s="78"/>
      <c r="B55" s="13"/>
      <c r="C55" s="7"/>
    </row>
    <row r="56" ht="14.25" customHeight="1">
      <c r="A56" s="78"/>
      <c r="B56" s="13"/>
      <c r="C56" s="7"/>
    </row>
    <row r="57" ht="14.25" customHeight="1">
      <c r="A57" s="78"/>
      <c r="B57" s="13"/>
      <c r="C57" s="7"/>
    </row>
    <row r="58" ht="14.25" customHeight="1">
      <c r="A58" s="78"/>
      <c r="B58" s="73"/>
    </row>
    <row r="59" ht="14.25" customHeight="1">
      <c r="A59" s="78"/>
    </row>
    <row r="60" ht="14.25" customHeight="1">
      <c r="A60" s="78"/>
    </row>
    <row r="61" ht="14.25" customHeight="1">
      <c r="A61" s="78"/>
    </row>
    <row r="62" ht="14.25" customHeight="1">
      <c r="A62" s="78"/>
    </row>
    <row r="63" ht="14.25" customHeight="1">
      <c r="A63" s="78"/>
    </row>
    <row r="64" ht="14.25" customHeight="1">
      <c r="A64" s="78"/>
    </row>
    <row r="65" ht="14.25" customHeight="1">
      <c r="A65" s="78"/>
    </row>
    <row r="66" ht="14.25" customHeight="1">
      <c r="A66" s="37" t="s">
        <v>50</v>
      </c>
      <c r="B66" s="24"/>
      <c r="C66" s="24">
        <f>SUM(C4:C65)</f>
        <v>1094386.9</v>
      </c>
      <c r="D66" s="24">
        <f t="shared" ref="D66:V66" si="1">SUM(D3:D65)</f>
        <v>33998.05</v>
      </c>
      <c r="E66" s="24">
        <f t="shared" si="1"/>
        <v>660</v>
      </c>
      <c r="F66" s="24">
        <f t="shared" si="1"/>
        <v>0</v>
      </c>
      <c r="G66" s="24">
        <f t="shared" si="1"/>
        <v>0</v>
      </c>
      <c r="H66" s="24">
        <f t="shared" si="1"/>
        <v>0</v>
      </c>
      <c r="I66" s="24">
        <f t="shared" si="1"/>
        <v>0</v>
      </c>
      <c r="J66" s="24">
        <f t="shared" si="1"/>
        <v>0</v>
      </c>
      <c r="K66" s="24">
        <f t="shared" si="1"/>
        <v>0</v>
      </c>
      <c r="L66" s="24">
        <f t="shared" si="1"/>
        <v>0</v>
      </c>
      <c r="M66" s="24">
        <f t="shared" si="1"/>
        <v>0</v>
      </c>
      <c r="N66" s="24">
        <f t="shared" si="1"/>
        <v>0</v>
      </c>
      <c r="O66" s="24">
        <f t="shared" si="1"/>
        <v>0</v>
      </c>
      <c r="P66" s="24">
        <f t="shared" si="1"/>
        <v>19920</v>
      </c>
      <c r="Q66" s="24">
        <f t="shared" si="1"/>
        <v>0</v>
      </c>
      <c r="R66" s="24">
        <f t="shared" si="1"/>
        <v>23380</v>
      </c>
      <c r="S66" s="24">
        <f t="shared" si="1"/>
        <v>0</v>
      </c>
      <c r="T66" s="24">
        <f t="shared" si="1"/>
        <v>0</v>
      </c>
      <c r="U66" s="24">
        <f t="shared" si="1"/>
        <v>0</v>
      </c>
      <c r="V66" s="24">
        <f t="shared" si="1"/>
        <v>67539</v>
      </c>
      <c r="W66" s="25"/>
      <c r="X66" s="25"/>
      <c r="Y66" s="25"/>
      <c r="Z66" s="25"/>
    </row>
    <row r="67" ht="14.25" customHeight="1">
      <c r="A67" s="38"/>
    </row>
    <row r="68" ht="14.25" customHeight="1">
      <c r="A68" s="38"/>
      <c r="B68" s="7"/>
      <c r="C68" s="7"/>
      <c r="D68" s="7"/>
    </row>
    <row r="69" ht="14.25" customHeight="1">
      <c r="A69" s="38"/>
      <c r="B69" s="7"/>
      <c r="C69" s="7"/>
      <c r="D69" s="7"/>
    </row>
    <row r="70" ht="14.25" customHeight="1">
      <c r="A70" s="38"/>
      <c r="B70" s="7"/>
      <c r="C70" s="7"/>
      <c r="D70" s="7"/>
    </row>
    <row r="71" ht="14.25" customHeight="1">
      <c r="A71" s="38"/>
      <c r="B71" s="7"/>
      <c r="C71" s="7"/>
      <c r="D71" s="7"/>
    </row>
    <row r="72" ht="14.25" customHeight="1">
      <c r="A72" s="38"/>
      <c r="B72" s="7"/>
      <c r="C72" s="7"/>
      <c r="D72" s="7"/>
    </row>
    <row r="73" ht="14.25" customHeight="1">
      <c r="A73" s="38"/>
      <c r="B73" s="7"/>
      <c r="C73" s="7"/>
      <c r="D73" s="7"/>
    </row>
    <row r="74" ht="14.25" customHeight="1">
      <c r="A74" s="38"/>
      <c r="B74" s="7"/>
      <c r="C74" s="7"/>
      <c r="D74" s="7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90" t="s">
        <v>359</v>
      </c>
      <c r="B1" s="91" t="s">
        <v>360</v>
      </c>
      <c r="C1" s="25" t="s">
        <v>361</v>
      </c>
      <c r="D1" s="25" t="s">
        <v>362</v>
      </c>
      <c r="E1" s="25" t="s">
        <v>363</v>
      </c>
      <c r="F1" s="25" t="s">
        <v>364</v>
      </c>
      <c r="G1" s="25" t="s">
        <v>365</v>
      </c>
      <c r="H1" s="25" t="s">
        <v>366</v>
      </c>
      <c r="I1" s="92" t="s">
        <v>367</v>
      </c>
      <c r="J1" s="92" t="s">
        <v>368</v>
      </c>
      <c r="K1" s="92" t="s">
        <v>369</v>
      </c>
      <c r="L1" s="92" t="s">
        <v>370</v>
      </c>
      <c r="M1" s="92" t="s">
        <v>371</v>
      </c>
      <c r="N1" s="92" t="s">
        <v>372</v>
      </c>
      <c r="O1" s="92" t="s">
        <v>373</v>
      </c>
    </row>
    <row r="2" ht="14.25" customHeight="1">
      <c r="A2" s="93" t="s">
        <v>374</v>
      </c>
      <c r="B2" s="94" t="s">
        <v>375</v>
      </c>
      <c r="C2" s="95">
        <f t="shared" ref="C2:O2" si="1">C3+C69</f>
        <v>1334958.91</v>
      </c>
      <c r="D2" s="95">
        <f t="shared" si="1"/>
        <v>99407825.01</v>
      </c>
      <c r="E2" s="95">
        <f t="shared" si="1"/>
        <v>101338505.2</v>
      </c>
      <c r="F2" s="95">
        <f t="shared" si="1"/>
        <v>91622409.46</v>
      </c>
      <c r="G2" s="95">
        <f t="shared" si="1"/>
        <v>151891880.9</v>
      </c>
      <c r="H2" s="95">
        <f t="shared" si="1"/>
        <v>92517733.58</v>
      </c>
      <c r="I2" s="95">
        <f t="shared" si="1"/>
        <v>91365359.75</v>
      </c>
      <c r="J2" s="95">
        <f t="shared" si="1"/>
        <v>91497239.96</v>
      </c>
      <c r="K2" s="95">
        <f t="shared" si="1"/>
        <v>104278730.7</v>
      </c>
      <c r="L2" s="95">
        <f t="shared" si="1"/>
        <v>151161385.9</v>
      </c>
      <c r="M2" s="95">
        <f t="shared" si="1"/>
        <v>92399713.25</v>
      </c>
      <c r="N2" s="95">
        <f t="shared" si="1"/>
        <v>91485657.95</v>
      </c>
      <c r="O2" s="96">
        <f t="shared" si="1"/>
        <v>166378657.6</v>
      </c>
    </row>
    <row r="3" ht="14.25" customHeight="1">
      <c r="A3" s="97" t="s">
        <v>376</v>
      </c>
      <c r="B3" s="98" t="s">
        <v>377</v>
      </c>
      <c r="C3" s="99">
        <f>C4+C67+C68</f>
        <v>1334917.48</v>
      </c>
      <c r="D3" s="99">
        <f t="shared" ref="D3:N3" si="2">D4+D67+D68+90356613</f>
        <v>99407806.6</v>
      </c>
      <c r="E3" s="99">
        <f t="shared" si="2"/>
        <v>101338484.9</v>
      </c>
      <c r="F3" s="99">
        <f t="shared" si="2"/>
        <v>91622389.73</v>
      </c>
      <c r="G3" s="99">
        <f t="shared" si="2"/>
        <v>151891860.5</v>
      </c>
      <c r="H3" s="99">
        <f t="shared" si="2"/>
        <v>92517698.85</v>
      </c>
      <c r="I3" s="99">
        <f t="shared" si="2"/>
        <v>91365339.37</v>
      </c>
      <c r="J3" s="99">
        <f t="shared" si="2"/>
        <v>91497219.58</v>
      </c>
      <c r="K3" s="99">
        <f t="shared" si="2"/>
        <v>103571813.3</v>
      </c>
      <c r="L3" s="99">
        <f t="shared" si="2"/>
        <v>151161365.5</v>
      </c>
      <c r="M3" s="99">
        <f t="shared" si="2"/>
        <v>92399693.53</v>
      </c>
      <c r="N3" s="99">
        <f t="shared" si="2"/>
        <v>91485657.95</v>
      </c>
      <c r="O3" s="100">
        <f>O4+O67+O68</f>
        <v>165671504.3</v>
      </c>
    </row>
    <row r="4" ht="14.25" customHeight="1">
      <c r="A4" s="101" t="s">
        <v>378</v>
      </c>
      <c r="B4" s="102" t="s">
        <v>379</v>
      </c>
      <c r="C4" s="103">
        <f>'січень'!$C$41</f>
        <v>707323.88</v>
      </c>
      <c r="D4" s="103">
        <f>'лютий'!$C$39</f>
        <v>8728124</v>
      </c>
      <c r="E4" s="103">
        <f>'березень'!C44</f>
        <v>10215490.7</v>
      </c>
      <c r="F4" s="103">
        <f>'квтень'!C45</f>
        <v>651861.29</v>
      </c>
      <c r="G4" s="103">
        <f>'травень'!C44</f>
        <v>60899182.06</v>
      </c>
      <c r="H4" s="103">
        <f>'червень'!C96</f>
        <v>1228485.73</v>
      </c>
      <c r="I4" s="104">
        <f>'липень'!C90</f>
        <v>299439.21</v>
      </c>
      <c r="J4" s="104">
        <f>'серпень'!C68</f>
        <v>661818.75</v>
      </c>
      <c r="K4" s="104">
        <f>'вересень'!C66</f>
        <v>12497303.01</v>
      </c>
      <c r="L4" s="104">
        <f>'жовтень'!C66</f>
        <v>59946469.46</v>
      </c>
      <c r="M4" s="104">
        <f>'листопад'!C66</f>
        <v>1663720.1</v>
      </c>
      <c r="N4" s="104">
        <f>'грудень'!C66</f>
        <v>1094386.9</v>
      </c>
      <c r="O4" s="105">
        <f t="shared" ref="O4:O69" si="3">SUBTOTAL(9,C4:N4)</f>
        <v>158593605.1</v>
      </c>
      <c r="P4" s="106"/>
    </row>
    <row r="5" ht="14.25" customHeight="1">
      <c r="A5" s="90"/>
      <c r="B5" s="26" t="s">
        <v>25</v>
      </c>
      <c r="C5" s="107">
        <f>'січень'!C4</f>
        <v>245440</v>
      </c>
      <c r="D5" s="107">
        <v>0.0</v>
      </c>
      <c r="E5" s="108">
        <f>SUMIF('лютий'!$B$3:$B$38,$B5,'лютий'!$C$3:$C$38)</f>
        <v>0</v>
      </c>
      <c r="F5" s="108">
        <f>SUMIF('лютий'!$B$3:$B$38,$B5,'лютий'!$C$3:$C$38)</f>
        <v>0</v>
      </c>
      <c r="G5" s="108">
        <f>SUMIF('лютий'!$B$3:$B$38,$B5,'лютий'!$C$3:$C$38)</f>
        <v>0</v>
      </c>
      <c r="H5" s="108">
        <f>SUMIF('лютий'!$B$3:$B$38,$B5,'лютий'!$C$3:$C$38)</f>
        <v>0</v>
      </c>
      <c r="I5" s="108">
        <f>SUMIF('лютий'!$B$3:$B$38,$B5,'лютий'!$C$3:$C$38)</f>
        <v>0</v>
      </c>
      <c r="J5" s="108">
        <f>SUMIF('лютий'!$B$3:$B$38,$B5,'лютий'!$C$3:$C$38)</f>
        <v>0</v>
      </c>
      <c r="K5" s="108">
        <f>'вересень'!C55</f>
        <v>3005909</v>
      </c>
      <c r="L5" s="108">
        <f>'жовтень'!C49+'жовтень'!C63</f>
        <v>59393464</v>
      </c>
      <c r="M5" s="108">
        <f>'листопад'!C35</f>
        <v>1078000</v>
      </c>
      <c r="N5" s="108">
        <f>SUMIF('лютий'!$B$3:$B$38,$B5,'лютий'!$C$3:$C$38)</f>
        <v>0</v>
      </c>
      <c r="O5" s="109">
        <f t="shared" si="3"/>
        <v>63722813</v>
      </c>
    </row>
    <row r="6" ht="14.25" customHeight="1">
      <c r="A6" s="90"/>
      <c r="B6" s="26" t="s">
        <v>26</v>
      </c>
      <c r="C6" s="107">
        <f>'січень'!C5+'січень'!C6</f>
        <v>127292.88</v>
      </c>
      <c r="D6" s="107">
        <f>'лютий'!C10+'лютий'!C15</f>
        <v>213379</v>
      </c>
      <c r="E6" s="107">
        <f>'березень'!C9+'березень'!C18</f>
        <v>25193.93</v>
      </c>
      <c r="F6" s="107">
        <v>0.0</v>
      </c>
      <c r="G6" s="107">
        <f>'травень'!C4+'травень'!C9</f>
        <v>7387.96</v>
      </c>
      <c r="H6" s="107">
        <f>'червень'!C10+'червень'!C20</f>
        <v>16021.44</v>
      </c>
      <c r="I6" s="107">
        <f>'липень'!C10+'липень'!C15</f>
        <v>52491.66</v>
      </c>
      <c r="J6" s="107">
        <f>'серпень'!C6+'серпень'!C7+'серпень'!C8</f>
        <v>23222.15</v>
      </c>
      <c r="K6" s="107">
        <f>'вересень'!C13</f>
        <v>3367.24</v>
      </c>
      <c r="L6" s="107">
        <f>'жовтень'!C7+'жовтень'!C13</f>
        <v>4904.42</v>
      </c>
      <c r="M6" s="107">
        <f>'листопад'!C5+'листопад'!C7</f>
        <v>7207.03</v>
      </c>
      <c r="N6" s="107">
        <v>0.0</v>
      </c>
      <c r="O6" s="109">
        <f t="shared" si="3"/>
        <v>480467.71</v>
      </c>
    </row>
    <row r="7" ht="14.25" customHeight="1">
      <c r="A7" s="90"/>
      <c r="B7" s="26" t="s">
        <v>35</v>
      </c>
      <c r="C7" s="108">
        <f>'січень'!C13</f>
        <v>25000</v>
      </c>
      <c r="D7" s="107">
        <v>0.0</v>
      </c>
      <c r="E7" s="108">
        <f>SUMIF('лютий'!$B$3:$B$38,$B7,'лютий'!$C$3:$C$38)</f>
        <v>0</v>
      </c>
      <c r="F7" s="108">
        <f>SUMIF('лютий'!$B$3:$B$38,$B7,'лютий'!$C$3:$C$38)</f>
        <v>0</v>
      </c>
      <c r="G7" s="108">
        <f>SUMIF('лютий'!$B$3:$B$38,$B7,'лютий'!$C$3:$C$38)</f>
        <v>0</v>
      </c>
      <c r="H7" s="108">
        <f>SUMIF('лютий'!$B$3:$B$38,$B7,'лютий'!$C$3:$C$38)</f>
        <v>0</v>
      </c>
      <c r="I7" s="108">
        <f>SUMIF('лютий'!$B$3:$B$38,$B7,'лютий'!$C$3:$C$38)</f>
        <v>0</v>
      </c>
      <c r="J7" s="108">
        <f>SUMIF('лютий'!$B$3:$B$38,$B7,'лютий'!$C$3:$C$38)</f>
        <v>0</v>
      </c>
      <c r="K7" s="108">
        <f>SUMIF('лютий'!$B$3:$B$38,$B7,'лютий'!$C$3:$C$38)</f>
        <v>0</v>
      </c>
      <c r="L7" s="108">
        <f>SUMIF('лютий'!$B$3:$B$38,$B7,'лютий'!$C$3:$C$38)</f>
        <v>0</v>
      </c>
      <c r="M7" s="108">
        <f>SUMIF('лютий'!$B$3:$B$38,$B7,'лютий'!$C$3:$C$38)</f>
        <v>0</v>
      </c>
      <c r="N7" s="108">
        <f>SUMIF('лютий'!$B$3:$B$38,$B7,'лютий'!$C$3:$C$38)</f>
        <v>0</v>
      </c>
      <c r="O7" s="109">
        <f t="shared" si="3"/>
        <v>25000</v>
      </c>
    </row>
    <row r="8" ht="14.25" customHeight="1">
      <c r="A8" s="90"/>
      <c r="B8" s="26" t="s">
        <v>37</v>
      </c>
      <c r="C8" s="107">
        <f>'січень'!C14</f>
        <v>25000</v>
      </c>
      <c r="D8" s="107">
        <v>0.0</v>
      </c>
      <c r="E8" s="108">
        <f>SUMIF('лютий'!$B$3:$B$38,$B8,'лютий'!$C$3:$C$38)</f>
        <v>0</v>
      </c>
      <c r="F8" s="108">
        <f>SUMIF('лютий'!$B$3:$B$38,$B8,'лютий'!$C$3:$C$38)</f>
        <v>0</v>
      </c>
      <c r="G8" s="108">
        <f>SUMIF('лютий'!$B$3:$B$38,$B8,'лютий'!$C$3:$C$38)</f>
        <v>0</v>
      </c>
      <c r="H8" s="108">
        <f>SUMIF('лютий'!$B$3:$B$38,$B8,'лютий'!$C$3:$C$38)</f>
        <v>0</v>
      </c>
      <c r="I8" s="108">
        <f>SUMIF('лютий'!$B$3:$B$38,$B8,'лютий'!$C$3:$C$38)</f>
        <v>0</v>
      </c>
      <c r="J8" s="108">
        <f>SUMIF('лютий'!$B$3:$B$38,$B8,'лютий'!$C$3:$C$38)</f>
        <v>0</v>
      </c>
      <c r="K8" s="108">
        <f>SUMIF('лютий'!$B$3:$B$38,$B8,'лютий'!$C$3:$C$38)</f>
        <v>0</v>
      </c>
      <c r="L8" s="108">
        <f>SUMIF('лютий'!$B$3:$B$38,$B8,'лютий'!$C$3:$C$38)</f>
        <v>0</v>
      </c>
      <c r="M8" s="108">
        <f>SUMIF('лютий'!$B$3:$B$38,$B8,'лютий'!$C$3:$C$38)</f>
        <v>0</v>
      </c>
      <c r="N8" s="108">
        <f>SUMIF('лютий'!$B$3:$B$38,$B8,'лютий'!$C$3:$C$38)</f>
        <v>0</v>
      </c>
      <c r="O8" s="109">
        <f t="shared" si="3"/>
        <v>25000</v>
      </c>
    </row>
    <row r="9" ht="14.25" customHeight="1">
      <c r="A9" s="90"/>
      <c r="B9" s="26" t="s">
        <v>39</v>
      </c>
      <c r="C9" s="107">
        <f>'січень'!C15</f>
        <v>170385</v>
      </c>
      <c r="D9" s="107">
        <v>0.0</v>
      </c>
      <c r="E9" s="108">
        <f>'березень'!C40+'березень'!C41</f>
        <v>8724097.76</v>
      </c>
      <c r="F9" s="108">
        <f>SUMIF('лютий'!$B$3:$B$38,$B9,'лютий'!$C$3:$C$38)</f>
        <v>0</v>
      </c>
      <c r="G9" s="108">
        <f>SUMIF('лютий'!$B$3:$B$38,$B9,'лютий'!$C$3:$C$38)</f>
        <v>0</v>
      </c>
      <c r="H9" s="108">
        <f>SUMIF('лютий'!$B$3:$B$38,$B9,'лютий'!$C$3:$C$38)</f>
        <v>0</v>
      </c>
      <c r="I9" s="108">
        <f>SUMIF('лютий'!$B$3:$B$38,$B9,'лютий'!$C$3:$C$38)</f>
        <v>0</v>
      </c>
      <c r="J9" s="108">
        <f>SUMIF('лютий'!$B$3:$B$38,$B9,'лютий'!$C$3:$C$38)</f>
        <v>0</v>
      </c>
      <c r="K9" s="108">
        <f>'вересень'!C29</f>
        <v>7869562.72</v>
      </c>
      <c r="L9" s="108">
        <f>SUMIF('лютий'!$B$3:$B$38,$B9,'лютий'!$C$3:$C$38)</f>
        <v>0</v>
      </c>
      <c r="M9" s="108">
        <f>SUMIF('лютий'!$B$3:$B$38,$B9,'лютий'!$C$3:$C$38)</f>
        <v>0</v>
      </c>
      <c r="N9" s="108">
        <f>SUMIF('лютий'!$B$3:$B$38,$B9,'лютий'!$C$3:$C$38)</f>
        <v>0</v>
      </c>
      <c r="O9" s="109">
        <f t="shared" si="3"/>
        <v>16764045.48</v>
      </c>
    </row>
    <row r="10" ht="14.25" customHeight="1">
      <c r="A10" s="90"/>
      <c r="B10" s="26" t="s">
        <v>41</v>
      </c>
      <c r="C10" s="108">
        <f>'січень'!C22</f>
        <v>109706</v>
      </c>
      <c r="D10" s="107">
        <v>0.0</v>
      </c>
      <c r="E10" s="108">
        <f>SUMIF('лютий'!$B$3:$B$38,$B10,'лютий'!$C$3:$C$38)</f>
        <v>0</v>
      </c>
      <c r="F10" s="108">
        <f>SUMIF('лютий'!$B$3:$B$38,$B10,'лютий'!$C$3:$C$38)</f>
        <v>0</v>
      </c>
      <c r="G10" s="108">
        <f>SUMIF('лютий'!$B$3:$B$38,$B10,'лютий'!$C$3:$C$38)</f>
        <v>0</v>
      </c>
      <c r="H10" s="108">
        <f>SUMIF('лютий'!$B$3:$B$38,$B10,'лютий'!$C$3:$C$38)</f>
        <v>0</v>
      </c>
      <c r="I10" s="108">
        <f>SUMIF('лютий'!$B$3:$B$38,$B10,'лютий'!$C$3:$C$38)</f>
        <v>0</v>
      </c>
      <c r="J10" s="108">
        <f>SUMIF('лютий'!$B$3:$B$38,$B10,'лютий'!$C$3:$C$38)</f>
        <v>0</v>
      </c>
      <c r="K10" s="108">
        <f>SUMIF('лютий'!$B$3:$B$38,$B10,'лютий'!$C$3:$C$38)</f>
        <v>0</v>
      </c>
      <c r="L10" s="108">
        <f>SUMIF('лютий'!$B$3:$B$38,$B10,'лютий'!$C$3:$C$38)</f>
        <v>0</v>
      </c>
      <c r="M10" s="108">
        <f>SUMIF('лютий'!$B$3:$B$38,$B10,'лютий'!$C$3:$C$38)</f>
        <v>0</v>
      </c>
      <c r="N10" s="108">
        <f>SUMIF('лютий'!$B$3:$B$38,$B10,'лютий'!$C$3:$C$38)</f>
        <v>0</v>
      </c>
      <c r="O10" s="109">
        <f t="shared" si="3"/>
        <v>109706</v>
      </c>
    </row>
    <row r="11" ht="14.25" customHeight="1">
      <c r="A11" s="90"/>
      <c r="B11" s="26" t="s">
        <v>49</v>
      </c>
      <c r="C11" s="108">
        <f>'січень'!C38</f>
        <v>4500</v>
      </c>
      <c r="D11" s="107">
        <v>0.0</v>
      </c>
      <c r="E11" s="108">
        <f>SUMIF('лютий'!$B$3:$B$38,$B11,'лютий'!$C$3:$C$38)</f>
        <v>0</v>
      </c>
      <c r="F11" s="108">
        <f>'квтень'!C40</f>
        <v>4500</v>
      </c>
      <c r="G11" s="108">
        <f>'травень'!C39</f>
        <v>2700</v>
      </c>
      <c r="H11" s="108">
        <f>'червень'!C94</f>
        <v>4500</v>
      </c>
      <c r="I11" s="108">
        <f>'липень'!C86</f>
        <v>4500</v>
      </c>
      <c r="J11" s="108">
        <f>'серпень'!C65</f>
        <v>4500</v>
      </c>
      <c r="K11" s="108">
        <f>'вересень'!C63</f>
        <v>4500</v>
      </c>
      <c r="L11" s="108">
        <f>'жовтень'!C65</f>
        <v>4500</v>
      </c>
      <c r="M11" s="108">
        <f>'листопад'!C63</f>
        <v>4500</v>
      </c>
      <c r="N11" s="108">
        <f>SUMIF('лютий'!$B$3:$B$38,$B11,'лютий'!$C$3:$C$38)</f>
        <v>0</v>
      </c>
      <c r="O11" s="109">
        <f t="shared" si="3"/>
        <v>38700</v>
      </c>
    </row>
    <row r="12" ht="14.25" customHeight="1">
      <c r="A12" s="90"/>
      <c r="B12" s="26" t="s">
        <v>57</v>
      </c>
      <c r="C12" s="108">
        <f>SUMIF('січень'!$B$4:$B$40,$B12,'січень'!$C$3:$C$40)</f>
        <v>0</v>
      </c>
      <c r="D12" s="107">
        <f>'лютий'!C13</f>
        <v>92500</v>
      </c>
      <c r="E12" s="107">
        <v>0.0</v>
      </c>
      <c r="F12" s="107">
        <v>0.0</v>
      </c>
      <c r="G12" s="107">
        <v>0.0</v>
      </c>
      <c r="H12" s="107">
        <v>0.0</v>
      </c>
      <c r="I12" s="107">
        <v>0.0</v>
      </c>
      <c r="J12" s="107">
        <v>0.0</v>
      </c>
      <c r="K12" s="107">
        <v>0.0</v>
      </c>
      <c r="L12" s="107">
        <v>0.0</v>
      </c>
      <c r="M12" s="107">
        <v>0.0</v>
      </c>
      <c r="N12" s="107">
        <v>0.0</v>
      </c>
      <c r="O12" s="109">
        <f t="shared" si="3"/>
        <v>92500</v>
      </c>
    </row>
    <row r="13" ht="14.25" customHeight="1">
      <c r="A13" s="90"/>
      <c r="B13" s="26" t="s">
        <v>58</v>
      </c>
      <c r="C13" s="108">
        <v>0.0</v>
      </c>
      <c r="D13" s="108">
        <f>'лютий'!C14</f>
        <v>15820</v>
      </c>
      <c r="E13" s="107">
        <v>0.0</v>
      </c>
      <c r="F13" s="107">
        <v>0.0</v>
      </c>
      <c r="G13" s="107">
        <v>0.0</v>
      </c>
      <c r="H13" s="107">
        <v>0.0</v>
      </c>
      <c r="I13" s="107">
        <v>0.0</v>
      </c>
      <c r="J13" s="107">
        <v>0.0</v>
      </c>
      <c r="K13" s="107">
        <v>0.0</v>
      </c>
      <c r="L13" s="107">
        <v>0.0</v>
      </c>
      <c r="M13" s="107">
        <v>0.0</v>
      </c>
      <c r="N13" s="107">
        <v>0.0</v>
      </c>
      <c r="O13" s="109">
        <f t="shared" si="3"/>
        <v>15820</v>
      </c>
    </row>
    <row r="14" ht="14.25" customHeight="1">
      <c r="A14" s="90"/>
      <c r="B14" s="26" t="s">
        <v>60</v>
      </c>
      <c r="C14" s="108">
        <f>SUMIF('січень'!$B$4:$B$40,$B14,'січень'!$C$3:$C$40)</f>
        <v>0</v>
      </c>
      <c r="D14" s="107">
        <f>'лютий'!C16</f>
        <v>160000</v>
      </c>
      <c r="E14" s="107">
        <v>0.0</v>
      </c>
      <c r="F14" s="107">
        <v>0.0</v>
      </c>
      <c r="G14" s="107">
        <f>'травень'!C38</f>
        <v>70000</v>
      </c>
      <c r="H14" s="107">
        <v>0.0</v>
      </c>
      <c r="I14" s="107">
        <v>0.0</v>
      </c>
      <c r="J14" s="107">
        <v>0.0</v>
      </c>
      <c r="K14" s="107">
        <v>0.0</v>
      </c>
      <c r="L14" s="107">
        <f>'жовтень'!C11</f>
        <v>75000</v>
      </c>
      <c r="M14" s="107">
        <f>'листопад'!C32</f>
        <v>70000</v>
      </c>
      <c r="N14" s="107">
        <v>0.0</v>
      </c>
      <c r="O14" s="109">
        <f t="shared" si="3"/>
        <v>375000</v>
      </c>
    </row>
    <row r="15" ht="14.25" customHeight="1">
      <c r="A15" s="90"/>
      <c r="B15" s="26" t="s">
        <v>62</v>
      </c>
      <c r="C15" s="108">
        <f>SUMIF('січень'!$B$4:$B$40,$B15,'січень'!$C$3:$C$40)</f>
        <v>0</v>
      </c>
      <c r="D15" s="107">
        <f>'лютий'!C17</f>
        <v>18500</v>
      </c>
      <c r="E15" s="107">
        <v>0.0</v>
      </c>
      <c r="F15" s="107">
        <v>0.0</v>
      </c>
      <c r="G15" s="107">
        <v>0.0</v>
      </c>
      <c r="H15" s="107">
        <v>0.0</v>
      </c>
      <c r="I15" s="107">
        <v>0.0</v>
      </c>
      <c r="J15" s="107">
        <v>0.0</v>
      </c>
      <c r="K15" s="107">
        <v>0.0</v>
      </c>
      <c r="L15" s="107">
        <v>0.0</v>
      </c>
      <c r="M15" s="107">
        <v>0.0</v>
      </c>
      <c r="N15" s="107">
        <v>0.0</v>
      </c>
      <c r="O15" s="109">
        <f t="shared" si="3"/>
        <v>18500</v>
      </c>
    </row>
    <row r="16" ht="14.25" customHeight="1">
      <c r="A16" s="90"/>
      <c r="B16" s="26" t="s">
        <v>63</v>
      </c>
      <c r="C16" s="108">
        <f>SUMIF('січень'!$B$4:$B$40,$B16,'січень'!$C$3:$C$40)</f>
        <v>0</v>
      </c>
      <c r="D16" s="107">
        <f>'лютий'!C18</f>
        <v>342425</v>
      </c>
      <c r="E16" s="107">
        <v>0.0</v>
      </c>
      <c r="F16" s="107">
        <v>0.0</v>
      </c>
      <c r="G16" s="107">
        <v>0.0</v>
      </c>
      <c r="H16" s="107">
        <v>0.0</v>
      </c>
      <c r="I16" s="107">
        <v>0.0</v>
      </c>
      <c r="J16" s="107">
        <v>0.0</v>
      </c>
      <c r="K16" s="107">
        <v>0.0</v>
      </c>
      <c r="L16" s="107">
        <v>0.0</v>
      </c>
      <c r="M16" s="107">
        <v>0.0</v>
      </c>
      <c r="N16" s="107">
        <v>0.0</v>
      </c>
      <c r="O16" s="109">
        <f t="shared" si="3"/>
        <v>342425</v>
      </c>
    </row>
    <row r="17" ht="14.25" customHeight="1">
      <c r="A17" s="90"/>
      <c r="B17" s="26" t="s">
        <v>67</v>
      </c>
      <c r="C17" s="108">
        <f>SUMIF('січень'!$B$4:$B$40,$B17,'січень'!$C$3:$C$40)</f>
        <v>0</v>
      </c>
      <c r="D17" s="107">
        <f>'лютий'!C23</f>
        <v>460500</v>
      </c>
      <c r="E17" s="107">
        <v>0.0</v>
      </c>
      <c r="F17" s="107">
        <v>0.0</v>
      </c>
      <c r="G17" s="107">
        <v>0.0</v>
      </c>
      <c r="H17" s="107">
        <v>0.0</v>
      </c>
      <c r="I17" s="107">
        <v>0.0</v>
      </c>
      <c r="J17" s="107">
        <v>0.0</v>
      </c>
      <c r="K17" s="107">
        <v>0.0</v>
      </c>
      <c r="L17" s="107">
        <v>0.0</v>
      </c>
      <c r="M17" s="107">
        <v>0.0</v>
      </c>
      <c r="N17" s="107">
        <v>0.0</v>
      </c>
      <c r="O17" s="109">
        <f t="shared" si="3"/>
        <v>460500</v>
      </c>
    </row>
    <row r="18" ht="14.25" customHeight="1">
      <c r="A18" s="90"/>
      <c r="B18" s="26" t="s">
        <v>70</v>
      </c>
      <c r="C18" s="108">
        <f>SUMIF('січень'!$B$4:$B$40,$B18,'січень'!$C$3:$C$40)</f>
        <v>0</v>
      </c>
      <c r="D18" s="107">
        <f>'лютий'!C26</f>
        <v>7400000</v>
      </c>
      <c r="E18" s="107">
        <v>0.0</v>
      </c>
      <c r="F18" s="107">
        <v>0.0</v>
      </c>
      <c r="G18" s="107">
        <f>'травень'!C23</f>
        <v>60338190</v>
      </c>
      <c r="H18" s="107">
        <v>0.0</v>
      </c>
      <c r="I18" s="107">
        <v>0.0</v>
      </c>
      <c r="J18" s="107">
        <v>0.0</v>
      </c>
      <c r="K18" s="107">
        <v>0.0</v>
      </c>
      <c r="L18" s="107">
        <v>0.0</v>
      </c>
      <c r="M18" s="107">
        <v>0.0</v>
      </c>
      <c r="N18" s="107">
        <v>0.0</v>
      </c>
      <c r="O18" s="109">
        <f t="shared" si="3"/>
        <v>67738190</v>
      </c>
    </row>
    <row r="19" ht="14.25" customHeight="1">
      <c r="A19" s="90"/>
      <c r="B19" s="26" t="s">
        <v>76</v>
      </c>
      <c r="C19" s="107">
        <v>0.0</v>
      </c>
      <c r="D19" s="107">
        <f>'лютий'!C32</f>
        <v>25000</v>
      </c>
      <c r="E19" s="107">
        <v>0.0</v>
      </c>
      <c r="F19" s="107">
        <v>0.0</v>
      </c>
      <c r="G19" s="107">
        <v>0.0</v>
      </c>
      <c r="H19" s="107">
        <v>0.0</v>
      </c>
      <c r="I19" s="107">
        <v>0.0</v>
      </c>
      <c r="J19" s="107">
        <v>0.0</v>
      </c>
      <c r="K19" s="107">
        <v>0.0</v>
      </c>
      <c r="L19" s="107">
        <v>0.0</v>
      </c>
      <c r="M19" s="107">
        <v>0.0</v>
      </c>
      <c r="N19" s="107">
        <v>0.0</v>
      </c>
      <c r="O19" s="109">
        <f t="shared" si="3"/>
        <v>25000</v>
      </c>
    </row>
    <row r="20" ht="14.25" customHeight="1">
      <c r="A20" s="90"/>
      <c r="B20" s="26" t="s">
        <v>79</v>
      </c>
      <c r="C20" s="108">
        <f>SUMIF('січень'!$B$4:$B$40,$B20,'січень'!$C$3:$C$40)</f>
        <v>0</v>
      </c>
      <c r="D20" s="107">
        <v>0.0</v>
      </c>
      <c r="E20" s="107">
        <f>'березень'!C5+'березень'!C8+'березень'!C13+'березень'!C16+'березень'!C17+'березень'!C20+'березень'!C21+'березень'!C28+'березень'!C32+'березень'!C39+-'березень'!C42</f>
        <v>15564.7</v>
      </c>
      <c r="F20" s="107">
        <f>'квтень'!C6+'квтень'!C8+'квтень'!C11+'квтень'!C12+'квтень'!C13+'квтень'!C17+'квтень'!C18+'квтень'!C21+'квтень'!C22+'квтень'!C23+'квтень'!C24+'квтень'!C27+'квтень'!C31+'квтень'!C32+'квтень'!C36+'квтень'!C38</f>
        <v>160208.38</v>
      </c>
      <c r="G20" s="107">
        <f>'травень'!C7+'травень'!C19+'травень'!C26+'травень'!C32+'травень'!C35+'травень'!C36+'травень'!C40</f>
        <v>24009.7</v>
      </c>
      <c r="H20" s="107">
        <f>'червень'!C9+'червень'!C12+'червень'!C21+'червень'!C28+'червень'!C32+'червень'!C41+'червень'!C46+'червень'!C48+'червень'!C51+'червень'!C64+'червень'!C69+'червень'!C80</f>
        <v>237663.65</v>
      </c>
      <c r="I20" s="107">
        <f>'липень'!C72+'липень'!C69+'липень'!C66+'липень'!C49+'липень'!C17+'липень'!C11</f>
        <v>19836.4</v>
      </c>
      <c r="J20" s="107">
        <f>'серпень'!C5+'серпень'!C32+'серпень'!C36</f>
        <v>16792.2</v>
      </c>
      <c r="K20" s="107">
        <f>'вересень'!C5+'вересень'!C10+'вересень'!C14+'вересень'!C38+'вересень'!C40</f>
        <v>60098.4</v>
      </c>
      <c r="L20" s="107">
        <f>'жовтень'!C6+'жовтень'!C14+'жовтень'!C25+'жовтень'!C26+'жовтень'!C34+'жовтень'!C40+'жовтень'!C42+'жовтень'!C46+'жовтень'!C48+'жовтень'!C50+'жовтень'!C52+'жовтень'!C62</f>
        <v>71411.04</v>
      </c>
      <c r="M20" s="107">
        <f>'листопад'!C4+'листопад'!C6+'листопад'!C28+'листопад'!C34+'листопад'!C36+'листопад'!C43+'листопад'!C56+'листопад'!C62</f>
        <v>30245.6</v>
      </c>
      <c r="N20" s="107">
        <v>0.0</v>
      </c>
      <c r="O20" s="109">
        <f t="shared" si="3"/>
        <v>635830.07</v>
      </c>
    </row>
    <row r="21" ht="14.25" customHeight="1">
      <c r="A21" s="90"/>
      <c r="B21" s="26" t="s">
        <v>82</v>
      </c>
      <c r="C21" s="108">
        <f>SUMIF('січень'!$B$4:$B$40,$B21,'січень'!$C$3:$C$40)</f>
        <v>0</v>
      </c>
      <c r="D21" s="108">
        <f>SUMIF('лютий'!$B$3:$B$38,$B21,'лютий'!$C$3:$C$38)</f>
        <v>0</v>
      </c>
      <c r="E21" s="108">
        <f>'березень'!C10</f>
        <v>128529.72</v>
      </c>
      <c r="F21" s="108">
        <f>SUMIF('лютий'!$B$3:$B$38,$B21,'лютий'!$C$3:$C$38)</f>
        <v>0</v>
      </c>
      <c r="G21" s="108">
        <f>SUMIF('лютий'!$B$3:$B$38,$B21,'лютий'!$C$3:$C$38)</f>
        <v>0</v>
      </c>
      <c r="H21" s="108">
        <f>SUMIF('лютий'!$B$3:$B$38,$B21,'лютий'!$C$3:$C$38)</f>
        <v>0</v>
      </c>
      <c r="I21" s="108">
        <f>SUMIF('лютий'!$B$3:$B$38,$B21,'лютий'!$C$3:$C$38)</f>
        <v>0</v>
      </c>
      <c r="J21" s="108">
        <f>SUMIF('лютий'!$B$3:$B$38,$B21,'лютий'!$C$3:$C$38)</f>
        <v>0</v>
      </c>
      <c r="K21" s="108">
        <f>SUMIF('лютий'!$B$3:$B$38,$B21,'лютий'!$C$3:$C$38)</f>
        <v>0</v>
      </c>
      <c r="L21" s="108">
        <f>'жовтень'!C64</f>
        <v>50000</v>
      </c>
      <c r="M21" s="108">
        <f>SUMIF('лютий'!$B$3:$B$38,$B21,'лютий'!$C$3:$C$38)</f>
        <v>0</v>
      </c>
      <c r="N21" s="108">
        <f>SUMIF('лютий'!$B$3:$B$38,$B21,'лютий'!$C$3:$C$38)</f>
        <v>0</v>
      </c>
      <c r="O21" s="109">
        <f t="shared" si="3"/>
        <v>178529.72</v>
      </c>
    </row>
    <row r="22" ht="14.25" customHeight="1">
      <c r="A22" s="90"/>
      <c r="B22" s="26" t="s">
        <v>83</v>
      </c>
      <c r="C22" s="108">
        <f>SUMIF('січень'!$B$4:$B$40,$B22,'січень'!$C$3:$C$40)</f>
        <v>0</v>
      </c>
      <c r="D22" s="108">
        <f>SUMIF('лютий'!$B$3:$B$38,$B22,'лютий'!$C$3:$C$38)</f>
        <v>0</v>
      </c>
      <c r="E22" s="108">
        <f>'березень'!C11</f>
        <v>360</v>
      </c>
      <c r="F22" s="108">
        <f>'квтень'!C7</f>
        <v>180</v>
      </c>
      <c r="G22" s="108">
        <f>'травень'!C5</f>
        <v>500</v>
      </c>
      <c r="H22" s="108">
        <f>'червень'!C11</f>
        <v>70</v>
      </c>
      <c r="I22" s="108">
        <f>SUMIF('лютий'!$B$3:$B$38,$B22,'лютий'!$C$3:$C$38)</f>
        <v>0</v>
      </c>
      <c r="J22" s="108">
        <f>SUMIF('лютий'!$B$3:$B$38,$B22,'лютий'!$C$3:$C$38)</f>
        <v>0</v>
      </c>
      <c r="K22" s="108">
        <f>SUMIF('лютий'!$B$3:$B$38,$B22,'лютий'!$C$3:$C$38)</f>
        <v>0</v>
      </c>
      <c r="L22" s="108">
        <f>SUMIF('лютий'!$B$3:$B$38,$B22,'лютий'!$C$3:$C$38)</f>
        <v>0</v>
      </c>
      <c r="M22" s="108">
        <f>SUMIF('лютий'!$B$3:$B$38,$B22,'лютий'!$C$3:$C$38)</f>
        <v>0</v>
      </c>
      <c r="N22" s="108">
        <f>SUMIF('лютий'!$B$3:$B$38,$B22,'лютий'!$C$3:$C$38)</f>
        <v>0</v>
      </c>
      <c r="O22" s="109">
        <f t="shared" si="3"/>
        <v>1110</v>
      </c>
    </row>
    <row r="23" ht="14.25" customHeight="1">
      <c r="A23" s="90"/>
      <c r="B23" s="26" t="s">
        <v>85</v>
      </c>
      <c r="C23" s="108">
        <f>SUMIF('січень'!$B$4:$B$40,$B23,'січень'!$C$3:$C$40)</f>
        <v>0</v>
      </c>
      <c r="D23" s="108">
        <f>SUMIF('лютий'!$B$3:$B$38,$B23,'лютий'!$C$3:$C$38)</f>
        <v>0</v>
      </c>
      <c r="E23" s="107">
        <f>'березень'!C19</f>
        <v>1087988.99</v>
      </c>
      <c r="F23" s="108">
        <f>SUMIF('лютий'!$B$3:$B$38,$B23,'лютий'!$C$3:$C$38)</f>
        <v>0</v>
      </c>
      <c r="G23" s="108">
        <f>SUMIF('лютий'!$B$3:$B$38,$B23,'лютий'!$C$3:$C$38)</f>
        <v>0</v>
      </c>
      <c r="H23" s="108">
        <f>SUMIF('лютий'!$B$3:$B$38,$B23,'лютий'!$C$3:$C$38)</f>
        <v>0</v>
      </c>
      <c r="I23" s="108">
        <f>SUMIF('лютий'!$B$3:$B$38,$B23,'лютий'!$C$3:$C$38)</f>
        <v>0</v>
      </c>
      <c r="J23" s="108">
        <f>SUMIF('лютий'!$B$3:$B$38,$B23,'лютий'!$C$3:$C$38)</f>
        <v>0</v>
      </c>
      <c r="K23" s="108">
        <f>SUMIF('лютий'!$B$3:$B$38,$B23,'лютий'!$C$3:$C$38)</f>
        <v>0</v>
      </c>
      <c r="L23" s="108">
        <f>SUMIF('лютий'!$B$3:$B$38,$B23,'лютий'!$C$3:$C$38)</f>
        <v>0</v>
      </c>
      <c r="M23" s="108">
        <f>SUMIF('лютий'!$B$3:$B$38,$B23,'лютий'!$C$3:$C$38)</f>
        <v>0</v>
      </c>
      <c r="N23" s="108">
        <f>SUMIF('лютий'!$B$3:$B$38,$B23,'лютий'!$C$3:$C$38)</f>
        <v>0</v>
      </c>
      <c r="O23" s="109">
        <f t="shared" si="3"/>
        <v>1087988.99</v>
      </c>
    </row>
    <row r="24" ht="14.25" customHeight="1">
      <c r="A24" s="90"/>
      <c r="B24" s="26" t="s">
        <v>88</v>
      </c>
      <c r="C24" s="107">
        <v>0.0</v>
      </c>
      <c r="D24" s="107">
        <v>0.0</v>
      </c>
      <c r="E24" s="107">
        <f>'березень'!C26</f>
        <v>25000</v>
      </c>
      <c r="F24" s="107">
        <v>0.0</v>
      </c>
      <c r="G24" s="107">
        <f>'травень'!C29</f>
        <v>20000</v>
      </c>
      <c r="H24" s="107">
        <v>0.0</v>
      </c>
      <c r="I24" s="107">
        <v>0.0</v>
      </c>
      <c r="J24" s="107">
        <v>0.0</v>
      </c>
      <c r="K24" s="107">
        <v>0.0</v>
      </c>
      <c r="L24" s="107">
        <v>0.0</v>
      </c>
      <c r="M24" s="107">
        <v>0.0</v>
      </c>
      <c r="N24" s="107">
        <v>0.0</v>
      </c>
      <c r="O24" s="109">
        <f t="shared" si="3"/>
        <v>45000</v>
      </c>
    </row>
    <row r="25" ht="14.25" customHeight="1">
      <c r="A25" s="90"/>
      <c r="B25" s="26" t="s">
        <v>91</v>
      </c>
      <c r="C25" s="108">
        <f>SUMIF('січень'!$B$4:$B$40,$B25,'січень'!$C$3:$C$40)</f>
        <v>0</v>
      </c>
      <c r="D25" s="107">
        <v>0.0</v>
      </c>
      <c r="E25" s="107">
        <f>'березень'!C31</f>
        <v>98970</v>
      </c>
      <c r="F25" s="107">
        <v>0.0</v>
      </c>
      <c r="G25" s="107">
        <f>'травень'!C27</f>
        <v>111024.4</v>
      </c>
      <c r="H25" s="107">
        <v>0.0</v>
      </c>
      <c r="I25" s="107">
        <v>0.0</v>
      </c>
      <c r="J25" s="107">
        <f>'серпень'!C57</f>
        <v>33222</v>
      </c>
      <c r="K25" s="107">
        <f>'вересень'!C59</f>
        <v>33222</v>
      </c>
      <c r="L25" s="107">
        <v>0.0</v>
      </c>
      <c r="M25" s="107">
        <v>0.0</v>
      </c>
      <c r="N25" s="107">
        <v>0.0</v>
      </c>
      <c r="O25" s="109">
        <f t="shared" si="3"/>
        <v>276438.4</v>
      </c>
    </row>
    <row r="26" ht="14.25" customHeight="1">
      <c r="A26" s="90"/>
      <c r="B26" s="26" t="s">
        <v>92</v>
      </c>
      <c r="C26" s="108">
        <f>SUMIF('січень'!$B$4:$B$40,$B26,'січень'!$C$3:$C$40)</f>
        <v>0</v>
      </c>
      <c r="D26" s="108">
        <f>SUMIF('лютий'!$B$3:$B$38,$B26,'лютий'!$C$3:$C$38)</f>
        <v>0</v>
      </c>
      <c r="E26" s="108">
        <f>'березень'!C33</f>
        <v>5000</v>
      </c>
      <c r="F26" s="108">
        <f>SUMIF('лютий'!$B$3:$B$38,$B26,'лютий'!$C$3:$C$38)</f>
        <v>0</v>
      </c>
      <c r="G26" s="108">
        <f>SUMIF('лютий'!$B$3:$B$38,$B26,'лютий'!$C$3:$C$38)</f>
        <v>0</v>
      </c>
      <c r="H26" s="108">
        <f>SUMIF('лютий'!$B$3:$B$38,$B26,'лютий'!$C$3:$C$38)</f>
        <v>0</v>
      </c>
      <c r="I26" s="108">
        <f>SUMIF('лютий'!$B$3:$B$38,$B26,'лютий'!$C$3:$C$38)</f>
        <v>0</v>
      </c>
      <c r="J26" s="108">
        <f>SUMIF('лютий'!$B$3:$B$38,$B26,'лютий'!$C$3:$C$38)</f>
        <v>0</v>
      </c>
      <c r="K26" s="108">
        <f>SUMIF('лютий'!$B$3:$B$38,$B26,'лютий'!$C$3:$C$38)</f>
        <v>0</v>
      </c>
      <c r="L26" s="108">
        <f>SUMIF('лютий'!$B$3:$B$38,$B26,'лютий'!$C$3:$C$38)</f>
        <v>0</v>
      </c>
      <c r="M26" s="108">
        <f>SUMIF('лютий'!$B$3:$B$38,$B26,'лютий'!$C$3:$C$38)</f>
        <v>0</v>
      </c>
      <c r="N26" s="108">
        <f>SUMIF('лютий'!$B$3:$B$38,$B26,'лютий'!$C$3:$C$38)</f>
        <v>0</v>
      </c>
      <c r="O26" s="109">
        <f t="shared" si="3"/>
        <v>5000</v>
      </c>
    </row>
    <row r="27" ht="14.25" customHeight="1">
      <c r="A27" s="90"/>
      <c r="B27" s="26" t="s">
        <v>93</v>
      </c>
      <c r="C27" s="108">
        <f>SUMIF('січень'!$B$4:$B$40,$B27,'січень'!$C$3:$C$40)</f>
        <v>0</v>
      </c>
      <c r="D27" s="108">
        <f>SUMIF('лютий'!$B$3:$B$38,$B27,'лютий'!$C$3:$C$38)</f>
        <v>0</v>
      </c>
      <c r="E27" s="108">
        <f>'березень'!C34</f>
        <v>4000</v>
      </c>
      <c r="F27" s="108">
        <f>SUMIF('лютий'!$B$3:$B$38,$B27,'лютий'!$C$3:$C$38)</f>
        <v>0</v>
      </c>
      <c r="G27" s="108">
        <f>SUMIF('лютий'!$B$3:$B$38,$B27,'лютий'!$C$3:$C$38)</f>
        <v>0</v>
      </c>
      <c r="H27" s="108">
        <f>SUMIF('лютий'!$B$3:$B$38,$B27,'лютий'!$C$3:$C$38)</f>
        <v>0</v>
      </c>
      <c r="I27" s="108">
        <f>SUMIF('лютий'!$B$3:$B$38,$B27,'лютий'!$C$3:$C$38)</f>
        <v>0</v>
      </c>
      <c r="J27" s="108">
        <f>SUMIF('лютий'!$B$3:$B$38,$B27,'лютий'!$C$3:$C$38)</f>
        <v>0</v>
      </c>
      <c r="K27" s="108">
        <f>SUMIF('лютий'!$B$3:$B$38,$B27,'лютий'!$C$3:$C$38)</f>
        <v>0</v>
      </c>
      <c r="L27" s="108">
        <f>SUMIF('лютий'!$B$3:$B$38,$B27,'лютий'!$C$3:$C$38)</f>
        <v>0</v>
      </c>
      <c r="M27" s="108">
        <f>SUMIF('лютий'!$B$3:$B$38,$B27,'лютий'!$C$3:$C$38)</f>
        <v>0</v>
      </c>
      <c r="N27" s="108">
        <f>SUMIF('лютий'!$B$3:$B$38,$B27,'лютий'!$C$3:$C$38)</f>
        <v>0</v>
      </c>
      <c r="O27" s="109">
        <f t="shared" si="3"/>
        <v>4000</v>
      </c>
    </row>
    <row r="28" ht="14.25" customHeight="1">
      <c r="A28" s="90"/>
      <c r="B28" s="26" t="s">
        <v>94</v>
      </c>
      <c r="C28" s="108">
        <f>SUMIF('січень'!$B$4:$B$40,$B28,'січень'!$C$3:$C$40)</f>
        <v>0</v>
      </c>
      <c r="D28" s="108">
        <f>SUMIF('лютий'!$B$3:$B$38,$B28,'лютий'!$C$3:$C$38)</f>
        <v>0</v>
      </c>
      <c r="E28" s="108">
        <f>'березень'!C35</f>
        <v>5000</v>
      </c>
      <c r="F28" s="108">
        <f>SUMIF('лютий'!$B$3:$B$38,$B28,'лютий'!$C$3:$C$38)</f>
        <v>0</v>
      </c>
      <c r="G28" s="108">
        <f>SUMIF('лютий'!$B$3:$B$38,$B28,'лютий'!$C$3:$C$38)</f>
        <v>0</v>
      </c>
      <c r="H28" s="108">
        <f>SUMIF('лютий'!$B$3:$B$38,$B28,'лютий'!$C$3:$C$38)</f>
        <v>0</v>
      </c>
      <c r="I28" s="108">
        <f>SUMIF('лютий'!$B$3:$B$38,$B28,'лютий'!$C$3:$C$38)</f>
        <v>0</v>
      </c>
      <c r="J28" s="108">
        <f>SUMIF('лютий'!$B$3:$B$38,$B28,'лютий'!$C$3:$C$38)</f>
        <v>0</v>
      </c>
      <c r="K28" s="108">
        <f>SUMIF('лютий'!$B$3:$B$38,$B28,'лютий'!$C$3:$C$38)</f>
        <v>0</v>
      </c>
      <c r="L28" s="108">
        <f>SUMIF('лютий'!$B$3:$B$38,$B28,'лютий'!$C$3:$C$38)</f>
        <v>0</v>
      </c>
      <c r="M28" s="108">
        <f>SUMIF('лютий'!$B$3:$B$38,$B28,'лютий'!$C$3:$C$38)</f>
        <v>0</v>
      </c>
      <c r="N28" s="108">
        <f>SUMIF('лютий'!$B$3:$B$38,$B28,'лютий'!$C$3:$C$38)</f>
        <v>0</v>
      </c>
      <c r="O28" s="109">
        <f t="shared" si="3"/>
        <v>5000</v>
      </c>
    </row>
    <row r="29" ht="14.25" customHeight="1">
      <c r="A29" s="90"/>
      <c r="B29" s="26" t="s">
        <v>95</v>
      </c>
      <c r="C29" s="108">
        <f>SUMIF('січень'!$B$4:$B$40,$B29,'січень'!$C$3:$C$40)</f>
        <v>0</v>
      </c>
      <c r="D29" s="108">
        <f>SUMIF('лютий'!$B$3:$B$38,$B29,'лютий'!$C$3:$C$38)</f>
        <v>0</v>
      </c>
      <c r="E29" s="108">
        <f>'березень'!C36</f>
        <v>50000</v>
      </c>
      <c r="F29" s="108">
        <f>SUMIF('лютий'!$B$3:$B$38,$B29,'лютий'!$C$3:$C$38)</f>
        <v>0</v>
      </c>
      <c r="G29" s="108">
        <f>SUMIF('лютий'!$B$3:$B$38,$B29,'лютий'!$C$3:$C$38)</f>
        <v>0</v>
      </c>
      <c r="H29" s="108">
        <f>SUMIF('лютий'!$B$3:$B$38,$B29,'лютий'!$C$3:$C$38)</f>
        <v>0</v>
      </c>
      <c r="I29" s="108">
        <f>SUMIF('лютий'!$B$3:$B$38,$B29,'лютий'!$C$3:$C$38)</f>
        <v>0</v>
      </c>
      <c r="J29" s="108">
        <f>SUMIF('лютий'!$B$3:$B$38,$B29,'лютий'!$C$3:$C$38)</f>
        <v>0</v>
      </c>
      <c r="K29" s="108">
        <f>SUMIF('лютий'!$B$3:$B$38,$B29,'лютий'!$C$3:$C$38)</f>
        <v>0</v>
      </c>
      <c r="L29" s="108">
        <f>SUMIF('лютий'!$B$3:$B$38,$B29,'лютий'!$C$3:$C$38)</f>
        <v>0</v>
      </c>
      <c r="M29" s="108">
        <f>SUMIF('лютий'!$B$3:$B$38,$B29,'лютий'!$C$3:$C$38)</f>
        <v>0</v>
      </c>
      <c r="N29" s="108">
        <f>SUMIF('лютий'!$B$3:$B$38,$B29,'лютий'!$C$3:$C$38)</f>
        <v>0</v>
      </c>
      <c r="O29" s="109">
        <f t="shared" si="3"/>
        <v>50000</v>
      </c>
    </row>
    <row r="30" ht="14.25" customHeight="1">
      <c r="A30" s="90"/>
      <c r="B30" s="26" t="s">
        <v>96</v>
      </c>
      <c r="C30" s="108">
        <f>SUMIF('січень'!$B$4:$B$40,$B30,'січень'!$C$3:$C$40)</f>
        <v>0</v>
      </c>
      <c r="D30" s="108">
        <f>SUMIF('лютий'!$B$3:$B$38,$B30,'лютий'!$C$3:$C$38)</f>
        <v>0</v>
      </c>
      <c r="E30" s="108">
        <f>'березень'!C37</f>
        <v>40000</v>
      </c>
      <c r="F30" s="108">
        <f>SUMIF('лютий'!$B$3:$B$38,$B30,'лютий'!$C$3:$C$38)</f>
        <v>0</v>
      </c>
      <c r="G30" s="108">
        <f>SUMIF('лютий'!$B$3:$B$38,$B30,'лютий'!$C$3:$C$38)</f>
        <v>0</v>
      </c>
      <c r="H30" s="108">
        <f>SUMIF('лютий'!$B$3:$B$38,$B30,'лютий'!$C$3:$C$38)</f>
        <v>0</v>
      </c>
      <c r="I30" s="108">
        <f>SUMIF('лютий'!$B$3:$B$38,$B30,'лютий'!$C$3:$C$38)</f>
        <v>0</v>
      </c>
      <c r="J30" s="108">
        <f>SUMIF('лютий'!$B$3:$B$38,$B30,'лютий'!$C$3:$C$38)</f>
        <v>0</v>
      </c>
      <c r="K30" s="108">
        <f>SUMIF('лютий'!$B$3:$B$38,$B30,'лютий'!$C$3:$C$38)</f>
        <v>0</v>
      </c>
      <c r="L30" s="108">
        <f>SUMIF('лютий'!$B$3:$B$38,$B30,'лютий'!$C$3:$C$38)</f>
        <v>0</v>
      </c>
      <c r="M30" s="108">
        <f>SUMIF('лютий'!$B$3:$B$38,$B30,'лютий'!$C$3:$C$38)</f>
        <v>0</v>
      </c>
      <c r="N30" s="108">
        <f>SUMIF('лютий'!$B$3:$B$38,$B30,'лютий'!$C$3:$C$38)</f>
        <v>0</v>
      </c>
      <c r="O30" s="109">
        <f t="shared" si="3"/>
        <v>40000</v>
      </c>
    </row>
    <row r="31" ht="14.25" customHeight="1">
      <c r="A31" s="90"/>
      <c r="B31" s="26" t="s">
        <v>97</v>
      </c>
      <c r="C31" s="108">
        <f>SUMIF('січень'!$B$4:$B$40,$B31,'січень'!$C$3:$C$40)</f>
        <v>0</v>
      </c>
      <c r="D31" s="108">
        <f>SUMIF('лютий'!$B$3:$B$38,$B31,'лютий'!$C$3:$C$38)</f>
        <v>0</v>
      </c>
      <c r="E31" s="107">
        <f>'березень'!C38</f>
        <v>5000</v>
      </c>
      <c r="F31" s="108">
        <f>SUMIF('лютий'!$B$3:$B$38,$B31,'лютий'!$C$3:$C$38)</f>
        <v>0</v>
      </c>
      <c r="G31" s="108">
        <f>SUMIF('лютий'!$B$3:$B$38,$B31,'лютий'!$C$3:$C$38)</f>
        <v>0</v>
      </c>
      <c r="H31" s="108">
        <f>SUMIF('лютий'!$B$3:$B$38,$B31,'лютий'!$C$3:$C$38)</f>
        <v>0</v>
      </c>
      <c r="I31" s="108">
        <f>SUMIF('лютий'!$B$3:$B$38,$B31,'лютий'!$C$3:$C$38)</f>
        <v>0</v>
      </c>
      <c r="J31" s="108">
        <f>SUMIF('лютий'!$B$3:$B$38,$B31,'лютий'!$C$3:$C$38)</f>
        <v>0</v>
      </c>
      <c r="K31" s="108">
        <f>SUMIF('лютий'!$B$3:$B$38,$B31,'лютий'!$C$3:$C$38)</f>
        <v>0</v>
      </c>
      <c r="L31" s="108">
        <f>SUMIF('лютий'!$B$3:$B$38,$B31,'лютий'!$C$3:$C$38)</f>
        <v>0</v>
      </c>
      <c r="M31" s="108">
        <f>SUMIF('лютий'!$B$3:$B$38,$B31,'лютий'!$C$3:$C$38)</f>
        <v>0</v>
      </c>
      <c r="N31" s="108">
        <f>SUMIF('лютий'!$B$3:$B$38,$B31,'лютий'!$C$3:$C$38)</f>
        <v>0</v>
      </c>
      <c r="O31" s="109">
        <f t="shared" si="3"/>
        <v>5000</v>
      </c>
    </row>
    <row r="32" ht="14.25" customHeight="1">
      <c r="A32" s="90"/>
      <c r="B32" s="26" t="s">
        <v>103</v>
      </c>
      <c r="C32" s="108">
        <f>SUMIF('січень'!$B$4:$B$40,$B32,'січень'!$C$3:$C$40)</f>
        <v>0</v>
      </c>
      <c r="D32" s="108">
        <f>SUMIF('лютий'!$B$3:$B$38,$B32,'лютий'!$C$3:$C$38)</f>
        <v>0</v>
      </c>
      <c r="E32" s="108">
        <f>SUMIF('лютий'!$B$3:$B$38,$B32,'лютий'!$C$3:$C$38)</f>
        <v>0</v>
      </c>
      <c r="F32" s="108">
        <f>'квтень'!C9</f>
        <v>20000</v>
      </c>
      <c r="G32" s="108">
        <f>SUMIF('лютий'!$B$3:$B$38,$B32,'лютий'!$C$3:$C$38)</f>
        <v>0</v>
      </c>
      <c r="H32" s="108">
        <f>SUMIF('лютий'!$B$3:$B$38,$B32,'лютий'!$C$3:$C$38)</f>
        <v>0</v>
      </c>
      <c r="I32" s="108">
        <f>SUMIF('лютий'!$B$3:$B$38,$B32,'лютий'!$C$3:$C$38)</f>
        <v>0</v>
      </c>
      <c r="J32" s="108">
        <f>SUMIF('лютий'!$B$3:$B$38,$B32,'лютий'!$C$3:$C$38)</f>
        <v>0</v>
      </c>
      <c r="K32" s="108">
        <f>SUMIF('лютий'!$B$3:$B$38,$B32,'лютий'!$C$3:$C$38)</f>
        <v>0</v>
      </c>
      <c r="L32" s="108">
        <f>SUMIF('лютий'!$B$3:$B$38,$B32,'лютий'!$C$3:$C$38)</f>
        <v>0</v>
      </c>
      <c r="M32" s="108">
        <f>SUMIF('лютий'!$B$3:$B$38,$B32,'лютий'!$C$3:$C$38)</f>
        <v>0</v>
      </c>
      <c r="N32" s="108">
        <f>SUMIF('лютий'!$B$3:$B$38,$B32,'лютий'!$C$3:$C$38)</f>
        <v>0</v>
      </c>
      <c r="O32" s="109">
        <f t="shared" si="3"/>
        <v>20000</v>
      </c>
    </row>
    <row r="33" ht="14.25" customHeight="1">
      <c r="A33" s="90"/>
      <c r="B33" s="26" t="s">
        <v>106</v>
      </c>
      <c r="C33" s="108">
        <f>SUMIF('січень'!$B$4:$B$40,$B33,'січень'!$C$3:$C$40)</f>
        <v>0</v>
      </c>
      <c r="D33" s="108">
        <f>SUMIF('лютий'!$B$3:$B$38,$B33,'лютий'!$C$3:$C$38)</f>
        <v>0</v>
      </c>
      <c r="E33" s="108">
        <f>SUMIF('лютий'!$B$3:$B$38,$B33,'лютий'!$C$3:$C$38)</f>
        <v>0</v>
      </c>
      <c r="F33" s="108">
        <f>'квтень'!C14</f>
        <v>60000</v>
      </c>
      <c r="G33" s="108">
        <f>SUMIF('лютий'!$B$3:$B$38,$B33,'лютий'!$C$3:$C$38)</f>
        <v>0</v>
      </c>
      <c r="H33" s="108">
        <f>SUMIF('лютий'!$B$3:$B$38,$B33,'лютий'!$C$3:$C$38)</f>
        <v>0</v>
      </c>
      <c r="I33" s="108">
        <f>SUMIF('лютий'!$B$3:$B$38,$B33,'лютий'!$C$3:$C$38)</f>
        <v>0</v>
      </c>
      <c r="J33" s="108">
        <f>SUMIF('лютий'!$B$3:$B$38,$B33,'лютий'!$C$3:$C$38)</f>
        <v>0</v>
      </c>
      <c r="K33" s="108">
        <f>SUMIF('лютий'!$B$3:$B$38,$B33,'лютий'!$C$3:$C$38)</f>
        <v>0</v>
      </c>
      <c r="L33" s="108">
        <f>SUMIF('лютий'!$B$3:$B$38,$B33,'лютий'!$C$3:$C$38)</f>
        <v>0</v>
      </c>
      <c r="M33" s="108">
        <f>SUMIF('лютий'!$B$3:$B$38,$B33,'лютий'!$C$3:$C$38)</f>
        <v>0</v>
      </c>
      <c r="N33" s="108">
        <f>SUMIF('лютий'!$B$3:$B$38,$B33,'лютий'!$C$3:$C$38)</f>
        <v>0</v>
      </c>
      <c r="O33" s="109">
        <f t="shared" si="3"/>
        <v>60000</v>
      </c>
    </row>
    <row r="34" ht="14.25" customHeight="1">
      <c r="A34" s="90"/>
      <c r="B34" s="26" t="s">
        <v>110</v>
      </c>
      <c r="C34" s="108">
        <f>SUMIF('січень'!$B$4:$B$40,$B34,'січень'!$C$3:$C$40)</f>
        <v>0</v>
      </c>
      <c r="D34" s="108">
        <f>SUMIF('лютий'!$B$3:$B$38,$B34,'лютий'!$C$3:$C$38)</f>
        <v>0</v>
      </c>
      <c r="E34" s="108">
        <f>SUMIF('лютий'!$B$3:$B$38,$B34,'лютий'!$C$3:$C$38)</f>
        <v>0</v>
      </c>
      <c r="F34" s="108">
        <f>'квтень'!C19</f>
        <v>3500</v>
      </c>
      <c r="G34" s="108">
        <f>SUMIF('лютий'!$B$3:$B$38,$B34,'лютий'!$C$3:$C$38)</f>
        <v>0</v>
      </c>
      <c r="H34" s="108">
        <f>SUMIF('лютий'!$B$3:$B$38,$B34,'лютий'!$C$3:$C$38)</f>
        <v>0</v>
      </c>
      <c r="I34" s="108">
        <f>SUMIF('лютий'!$B$3:$B$38,$B34,'лютий'!$C$3:$C$38)</f>
        <v>0</v>
      </c>
      <c r="J34" s="108">
        <f>SUMIF('лютий'!$B$3:$B$38,$B34,'лютий'!$C$3:$C$38)</f>
        <v>0</v>
      </c>
      <c r="K34" s="108">
        <f>SUMIF('лютий'!$B$3:$B$38,$B34,'лютий'!$C$3:$C$38)</f>
        <v>0</v>
      </c>
      <c r="L34" s="108">
        <f>SUMIF('лютий'!$B$3:$B$38,$B34,'лютий'!$C$3:$C$38)</f>
        <v>0</v>
      </c>
      <c r="M34" s="108">
        <f>SUMIF('лютий'!$B$3:$B$38,$B34,'лютий'!$C$3:$C$38)</f>
        <v>0</v>
      </c>
      <c r="N34" s="108">
        <f>SUMIF('лютий'!$B$3:$B$38,$B34,'лютий'!$C$3:$C$38)</f>
        <v>0</v>
      </c>
      <c r="O34" s="109">
        <f t="shared" si="3"/>
        <v>3500</v>
      </c>
    </row>
    <row r="35" ht="14.25" customHeight="1">
      <c r="A35" s="90"/>
      <c r="B35" s="26" t="s">
        <v>111</v>
      </c>
      <c r="C35" s="108">
        <f>SUMIF('січень'!$B$4:$B$40,$B35,'січень'!$C$3:$C$40)</f>
        <v>0</v>
      </c>
      <c r="D35" s="108">
        <f>SUMIF('лютий'!$B$3:$B$38,$B35,'лютий'!$C$3:$C$38)</f>
        <v>0</v>
      </c>
      <c r="E35" s="108">
        <f>SUMIF('лютий'!$B$3:$B$38,$B35,'лютий'!$C$3:$C$38)</f>
        <v>0</v>
      </c>
      <c r="F35" s="108">
        <f>'квтень'!C20</f>
        <v>3500</v>
      </c>
      <c r="G35" s="108">
        <f>SUMIF('лютий'!$B$3:$B$38,$B35,'лютий'!$C$3:$C$38)</f>
        <v>0</v>
      </c>
      <c r="H35" s="108">
        <f>SUMIF('лютий'!$B$3:$B$38,$B35,'лютий'!$C$3:$C$38)</f>
        <v>0</v>
      </c>
      <c r="I35" s="108">
        <f>SUMIF('лютий'!$B$3:$B$38,$B35,'лютий'!$C$3:$C$38)</f>
        <v>0</v>
      </c>
      <c r="J35" s="108">
        <f>SUMIF('лютий'!$B$3:$B$38,$B35,'лютий'!$C$3:$C$38)</f>
        <v>0</v>
      </c>
      <c r="K35" s="108">
        <f>SUMIF('лютий'!$B$3:$B$38,$B35,'лютий'!$C$3:$C$38)</f>
        <v>0</v>
      </c>
      <c r="L35" s="108">
        <f>SUMIF('лютий'!$B$3:$B$38,$B35,'лютий'!$C$3:$C$38)</f>
        <v>0</v>
      </c>
      <c r="M35" s="108">
        <f>SUMIF('лютий'!$B$3:$B$38,$B35,'лютий'!$C$3:$C$38)</f>
        <v>0</v>
      </c>
      <c r="N35" s="108">
        <f>SUMIF('лютий'!$B$3:$B$38,$B35,'лютий'!$C$3:$C$38)</f>
        <v>0</v>
      </c>
      <c r="O35" s="109">
        <f t="shared" si="3"/>
        <v>3500</v>
      </c>
    </row>
    <row r="36" ht="14.25" customHeight="1">
      <c r="A36" s="90"/>
      <c r="B36" s="26" t="s">
        <v>122</v>
      </c>
      <c r="C36" s="108">
        <f>SUMIF('січень'!$B$4:$B$40,$B36,'січень'!$C$3:$C$40)</f>
        <v>0</v>
      </c>
      <c r="D36" s="108">
        <f>SUMIF('лютий'!$B$3:$B$38,$B36,'лютий'!$C$3:$C$38)</f>
        <v>0</v>
      </c>
      <c r="E36" s="108">
        <f>SUMIF('лютий'!$B$3:$B$38,$B36,'лютий'!$C$3:$C$38)</f>
        <v>0</v>
      </c>
      <c r="F36" s="108">
        <f>'квтень'!C28</f>
        <v>26520</v>
      </c>
      <c r="G36" s="108">
        <f>SUMIF('лютий'!$B$3:$B$38,$B36,'лютий'!$C$3:$C$38)</f>
        <v>0</v>
      </c>
      <c r="H36" s="108">
        <f>SUMIF('лютий'!$B$3:$B$38,$B36,'лютий'!$C$3:$C$38)</f>
        <v>0</v>
      </c>
      <c r="I36" s="108">
        <f>SUMIF('лютий'!$B$3:$B$38,$B36,'лютий'!$C$3:$C$38)</f>
        <v>0</v>
      </c>
      <c r="J36" s="108">
        <f>SUMIF('лютий'!$B$3:$B$38,$B36,'лютий'!$C$3:$C$38)</f>
        <v>0</v>
      </c>
      <c r="K36" s="108">
        <f>SUMIF('лютий'!$B$3:$B$38,$B36,'лютий'!$C$3:$C$38)</f>
        <v>0</v>
      </c>
      <c r="L36" s="108">
        <f>SUMIF('лютий'!$B$3:$B$38,$B36,'лютий'!$C$3:$C$38)</f>
        <v>0</v>
      </c>
      <c r="M36" s="108">
        <f>SUMIF('лютий'!$B$3:$B$38,$B36,'лютий'!$C$3:$C$38)</f>
        <v>0</v>
      </c>
      <c r="N36" s="108">
        <f>SUMIF('лютий'!$B$3:$B$38,$B36,'лютий'!$C$3:$C$38)</f>
        <v>0</v>
      </c>
      <c r="O36" s="109">
        <f t="shared" si="3"/>
        <v>26520</v>
      </c>
    </row>
    <row r="37" ht="14.25" customHeight="1">
      <c r="A37" s="90"/>
      <c r="B37" s="26" t="s">
        <v>380</v>
      </c>
      <c r="C37" s="108">
        <f>SUMIF('січень'!$B$4:$B$40,$B37,'січень'!$C$3:$C$40)</f>
        <v>0</v>
      </c>
      <c r="D37" s="108">
        <f>SUMIF('лютий'!$B$3:$B$38,$B37,'лютий'!$C$3:$C$38)</f>
        <v>0</v>
      </c>
      <c r="E37" s="108">
        <f>SUMIF('лютий'!$B$3:$B$38,$B37,'лютий'!$C$3:$C$38)</f>
        <v>0</v>
      </c>
      <c r="F37" s="108">
        <f>'квтень'!C30</f>
        <v>365686</v>
      </c>
      <c r="G37" s="108">
        <f>SUMIF('лютий'!$B$3:$B$38,$B37,'лютий'!$C$3:$C$38)</f>
        <v>0</v>
      </c>
      <c r="H37" s="108">
        <f>SUMIF('лютий'!$B$3:$B$38,$B37,'лютий'!$C$3:$C$38)</f>
        <v>0</v>
      </c>
      <c r="I37" s="108">
        <f>SUMIF('лютий'!$B$3:$B$38,$B37,'лютий'!$C$3:$C$38)</f>
        <v>0</v>
      </c>
      <c r="J37" s="108">
        <f>SUMIF('лютий'!$B$3:$B$38,$B37,'лютий'!$C$3:$C$38)</f>
        <v>0</v>
      </c>
      <c r="K37" s="108">
        <f>SUMIF('лютий'!$B$3:$B$38,$B37,'лютий'!$C$3:$C$38)</f>
        <v>0</v>
      </c>
      <c r="L37" s="108">
        <f>SUMIF('лютий'!$B$3:$B$38,$B37,'лютий'!$C$3:$C$38)</f>
        <v>0</v>
      </c>
      <c r="M37" s="108">
        <f>SUMIF('лютий'!$B$3:$B$38,$B37,'лютий'!$C$3:$C$38)</f>
        <v>0</v>
      </c>
      <c r="N37" s="108">
        <f>SUMIF('лютий'!$B$3:$B$38,$B37,'лютий'!$C$3:$C$38)</f>
        <v>0</v>
      </c>
      <c r="O37" s="109">
        <f t="shared" si="3"/>
        <v>365686</v>
      </c>
    </row>
    <row r="38" ht="14.25" customHeight="1">
      <c r="A38" s="90"/>
      <c r="B38" s="26" t="s">
        <v>130</v>
      </c>
      <c r="C38" s="108">
        <f>SUMIF('січень'!$B$4:$B$40,$B38,'січень'!$C$3:$C$40)</f>
        <v>0</v>
      </c>
      <c r="D38" s="108">
        <f>SUMIF('лютий'!$B$3:$B$38,$B38,'лютий'!$C$3:$C$38)</f>
        <v>0</v>
      </c>
      <c r="E38" s="108">
        <f>SUMIF('лютий'!$B$3:$B$38,$B38,'лютий'!$C$3:$C$38)</f>
        <v>0</v>
      </c>
      <c r="F38" s="108">
        <f>'квтень'!C35</f>
        <v>500</v>
      </c>
      <c r="G38" s="108">
        <f>SUMIF('лютий'!$B$3:$B$38,$B38,'лютий'!$C$3:$C$38)</f>
        <v>0</v>
      </c>
      <c r="H38" s="108">
        <f>SUMIF('лютий'!$B$3:$B$38,$B38,'лютий'!$C$3:$C$38)</f>
        <v>0</v>
      </c>
      <c r="I38" s="108">
        <f>SUMIF('лютий'!$B$3:$B$38,$B38,'лютий'!$C$3:$C$38)</f>
        <v>0</v>
      </c>
      <c r="J38" s="108">
        <f>SUMIF('лютий'!$B$3:$B$38,$B38,'лютий'!$C$3:$C$38)</f>
        <v>0</v>
      </c>
      <c r="K38" s="108">
        <f>SUMIF('лютий'!$B$3:$B$38,$B38,'лютий'!$C$3:$C$38)</f>
        <v>0</v>
      </c>
      <c r="L38" s="108">
        <f>SUMIF('лютий'!$B$3:$B$38,$B38,'лютий'!$C$3:$C$38)</f>
        <v>0</v>
      </c>
      <c r="M38" s="108">
        <f>SUMIF('лютий'!$B$3:$B$38,$B38,'лютий'!$C$3:$C$38)</f>
        <v>0</v>
      </c>
      <c r="N38" s="108">
        <f>SUMIF('лютий'!$B$3:$B$38,$B38,'лютий'!$C$3:$C$38)</f>
        <v>0</v>
      </c>
      <c r="O38" s="109">
        <f t="shared" si="3"/>
        <v>500</v>
      </c>
    </row>
    <row r="39" ht="14.25" customHeight="1">
      <c r="A39" s="90"/>
      <c r="B39" s="26" t="s">
        <v>162</v>
      </c>
      <c r="C39" s="107">
        <v>0.0</v>
      </c>
      <c r="D39" s="108">
        <f>SUMIF('лютий'!$B$3:$B$38,$B39,'лютий'!$C$3:$C$38)</f>
        <v>0</v>
      </c>
      <c r="E39" s="108">
        <f>SUMIF('лютий'!$B$3:$B$38,$B39,'лютий'!$C$3:$C$38)</f>
        <v>0</v>
      </c>
      <c r="F39" s="108">
        <f>SUMIF('лютий'!$B$3:$B$38,$B39,'лютий'!$C$3:$C$38)</f>
        <v>0</v>
      </c>
      <c r="G39" s="108">
        <f>'травень'!C30</f>
        <v>9500</v>
      </c>
      <c r="H39" s="108">
        <f>SUMIF('лютий'!$B$3:$B$38,$B39,'лютий'!$C$3:$C$38)</f>
        <v>0</v>
      </c>
      <c r="I39" s="108">
        <f>SUMIF('лютий'!$B$3:$B$38,$B39,'лютий'!$C$3:$C$38)</f>
        <v>0</v>
      </c>
      <c r="J39" s="108">
        <f>SUMIF('лютий'!$B$3:$B$38,$B39,'лютий'!$C$3:$C$38)</f>
        <v>0</v>
      </c>
      <c r="K39" s="108">
        <f>SUMIF('лютий'!$B$3:$B$38,$B39,'лютий'!$C$3:$C$38)</f>
        <v>0</v>
      </c>
      <c r="L39" s="108">
        <f>SUMIF('лютий'!$B$3:$B$38,$B39,'лютий'!$C$3:$C$38)</f>
        <v>0</v>
      </c>
      <c r="M39" s="108">
        <f>SUMIF('лютий'!$B$3:$B$38,$B39,'лютий'!$C$3:$C$38)</f>
        <v>0</v>
      </c>
      <c r="N39" s="108">
        <f>SUMIF('лютий'!$B$3:$B$38,$B39,'лютий'!$C$3:$C$38)</f>
        <v>0</v>
      </c>
      <c r="O39" s="109">
        <f t="shared" si="3"/>
        <v>9500</v>
      </c>
    </row>
    <row r="40" ht="14.25" customHeight="1">
      <c r="A40" s="90"/>
      <c r="B40" s="26" t="s">
        <v>164</v>
      </c>
      <c r="C40" s="108">
        <f>SUMIF('січень'!$B$4:$B$40,$B40,'січень'!$C$3:$C$40)</f>
        <v>0</v>
      </c>
      <c r="D40" s="108">
        <f>SUMIF('лютий'!$B$3:$B$38,$B40,'лютий'!$C$3:$C$38)</f>
        <v>0</v>
      </c>
      <c r="E40" s="108">
        <f>SUMIF('лютий'!$B$3:$B$38,$B40,'лютий'!$C$3:$C$38)</f>
        <v>0</v>
      </c>
      <c r="F40" s="108">
        <f>SUMIF('лютий'!$B$3:$B$38,$B40,'лютий'!$C$3:$C$38)</f>
        <v>0</v>
      </c>
      <c r="G40" s="108">
        <f>'травень'!C31</f>
        <v>275870</v>
      </c>
      <c r="H40" s="108">
        <f>SUMIF('лютий'!$B$3:$B$38,$B40,'лютий'!$C$3:$C$38)</f>
        <v>0</v>
      </c>
      <c r="I40" s="108">
        <f>SUMIF('лютий'!$B$3:$B$38,$B40,'лютий'!$C$3:$C$38)</f>
        <v>0</v>
      </c>
      <c r="J40" s="108">
        <f>SUMIF('лютий'!$B$3:$B$38,$B40,'лютий'!$C$3:$C$38)</f>
        <v>0</v>
      </c>
      <c r="K40" s="108">
        <f>SUMIF('лютий'!$B$3:$B$38,$B40,'лютий'!$C$3:$C$38)</f>
        <v>0</v>
      </c>
      <c r="L40" s="108">
        <f>SUMIF('лютий'!$B$3:$B$38,$B40,'лютий'!$C$3:$C$38)</f>
        <v>0</v>
      </c>
      <c r="M40" s="108">
        <f>SUMIF('лютий'!$B$3:$B$38,$B40,'лютий'!$C$3:$C$38)</f>
        <v>0</v>
      </c>
      <c r="N40" s="108">
        <f>SUMIF('лютий'!$B$3:$B$38,$B40,'лютий'!$C$3:$C$38)</f>
        <v>0</v>
      </c>
      <c r="O40" s="109">
        <f t="shared" si="3"/>
        <v>275870</v>
      </c>
    </row>
    <row r="41" ht="14.25" customHeight="1">
      <c r="A41" s="90"/>
      <c r="B41" s="26" t="s">
        <v>174</v>
      </c>
      <c r="C41" s="108">
        <f>SUMIF('січень'!$B$4:$B$40,$B41,'січень'!$C$3:$C$40)</f>
        <v>0</v>
      </c>
      <c r="D41" s="108">
        <f>SUMIF('лютий'!$B$3:$B$38,$B41,'лютий'!$C$3:$C$38)</f>
        <v>0</v>
      </c>
      <c r="E41" s="108">
        <f>SUMIF('лютий'!$B$3:$B$38,$B41,'лютий'!$C$3:$C$38)</f>
        <v>0</v>
      </c>
      <c r="F41" s="108">
        <f>SUMIF('лютий'!$B$3:$B$38,$B41,'лютий'!$C$3:$C$38)</f>
        <v>0</v>
      </c>
      <c r="G41" s="108">
        <f>'травень'!C37</f>
        <v>15000</v>
      </c>
      <c r="H41" s="108">
        <f>SUMIF('лютий'!$B$3:$B$38,$B41,'лютий'!$C$3:$C$38)</f>
        <v>0</v>
      </c>
      <c r="I41" s="108">
        <f>SUMIF('лютий'!$B$3:$B$38,$B41,'лютий'!$C$3:$C$38)</f>
        <v>0</v>
      </c>
      <c r="J41" s="108">
        <f>SUMIF('лютий'!$B$3:$B$38,$B41,'лютий'!$C$3:$C$38)</f>
        <v>0</v>
      </c>
      <c r="K41" s="108">
        <f>SUMIF('лютий'!$B$3:$B$38,$B41,'лютий'!$C$3:$C$38)</f>
        <v>0</v>
      </c>
      <c r="L41" s="108">
        <f>SUMIF('лютий'!$B$3:$B$38,$B41,'лютий'!$C$3:$C$38)</f>
        <v>0</v>
      </c>
      <c r="M41" s="108">
        <f>SUMIF('лютий'!$B$3:$B$38,$B41,'лютий'!$C$3:$C$38)</f>
        <v>0</v>
      </c>
      <c r="N41" s="108">
        <f>SUMIF('лютий'!$B$3:$B$38,$B41,'лютий'!$C$3:$C$38)</f>
        <v>0</v>
      </c>
      <c r="O41" s="109">
        <f t="shared" si="3"/>
        <v>15000</v>
      </c>
    </row>
    <row r="42" ht="14.25" customHeight="1">
      <c r="A42" s="90"/>
      <c r="B42" s="26" t="s">
        <v>144</v>
      </c>
      <c r="C42" s="108">
        <f>SUMIF('січень'!$B$4:$B$40,$B42,'січень'!$C$3:$C$40)</f>
        <v>0</v>
      </c>
      <c r="D42" s="108">
        <f>SUMIF('лютий'!$B$3:$B$38,$B42,'лютий'!$C$3:$C$38)</f>
        <v>0</v>
      </c>
      <c r="E42" s="108">
        <f>SUMIF('лютий'!$B$3:$B$38,$B42,'лютий'!$C$3:$C$38)</f>
        <v>0</v>
      </c>
      <c r="F42" s="108">
        <f>SUMIF('лютий'!$B$3:$B$38,$B42,'лютий'!$C$3:$C$38)</f>
        <v>0</v>
      </c>
      <c r="G42" s="108">
        <f>'травень'!C6</f>
        <v>25000</v>
      </c>
      <c r="H42" s="108">
        <f>SUMIF('лютий'!$B$3:$B$38,$B42,'лютий'!$C$3:$C$38)</f>
        <v>0</v>
      </c>
      <c r="I42" s="108">
        <f>SUMIF('лютий'!$B$3:$B$38,$B42,'лютий'!$C$3:$C$38)</f>
        <v>0</v>
      </c>
      <c r="J42" s="108">
        <f>SUMIF('лютий'!$B$3:$B$38,$B42,'лютий'!$C$3:$C$38)</f>
        <v>0</v>
      </c>
      <c r="K42" s="108">
        <f>SUMIF('лютий'!$B$3:$B$38,$B42,'лютий'!$C$3:$C$38)</f>
        <v>0</v>
      </c>
      <c r="L42" s="108">
        <f>'жовтень'!C24</f>
        <v>50000</v>
      </c>
      <c r="M42" s="108">
        <f>SUMIF('лютий'!$B$3:$B$38,$B42,'лютий'!$C$3:$C$38)</f>
        <v>0</v>
      </c>
      <c r="N42" s="108">
        <f>SUMIF('лютий'!$B$3:$B$38,$B42,'лютий'!$C$3:$C$38)</f>
        <v>0</v>
      </c>
      <c r="O42" s="109">
        <f t="shared" si="3"/>
        <v>75000</v>
      </c>
    </row>
    <row r="43" ht="14.25" customHeight="1">
      <c r="A43" s="90"/>
      <c r="B43" s="26" t="s">
        <v>177</v>
      </c>
      <c r="C43" s="108">
        <f>SUMIF('січень'!$B$4:$B$40,$B43,'січень'!$C$3:$C$40)</f>
        <v>0</v>
      </c>
      <c r="D43" s="108">
        <f>SUMIF('лютий'!$B$3:$B$38,$B43,'лютий'!$C$3:$C$38)</f>
        <v>0</v>
      </c>
      <c r="E43" s="108">
        <f>SUMIF('лютий'!$B$3:$B$38,$B43,'лютий'!$C$3:$C$38)</f>
        <v>0</v>
      </c>
      <c r="F43" s="108">
        <f>SUMIF('лютий'!$B$3:$B$38,$B43,'лютий'!$C$3:$C$38)</f>
        <v>0</v>
      </c>
      <c r="G43" s="108">
        <f>SUMIF('лютий'!$B$3:$B$38,$B43,'лютий'!$C$3:$C$38)</f>
        <v>0</v>
      </c>
      <c r="H43" s="108">
        <f>'червень'!C4</f>
        <v>3000</v>
      </c>
      <c r="I43" s="108">
        <f>SUMIF('лютий'!$B$3:$B$38,$B43,'лютий'!$C$3:$C$38)</f>
        <v>0</v>
      </c>
      <c r="J43" s="108">
        <f>SUMIF('лютий'!$B$3:$B$38,$B43,'лютий'!$C$3:$C$38)</f>
        <v>0</v>
      </c>
      <c r="K43" s="108">
        <f>SUMIF('лютий'!$B$3:$B$38,$B43,'лютий'!$C$3:$C$38)</f>
        <v>0</v>
      </c>
      <c r="L43" s="108">
        <f>SUMIF('лютий'!$B$3:$B$38,$B43,'лютий'!$C$3:$C$38)</f>
        <v>0</v>
      </c>
      <c r="M43" s="108">
        <f>SUMIF('лютий'!$B$3:$B$38,$B43,'лютий'!$C$3:$C$38)</f>
        <v>0</v>
      </c>
      <c r="N43" s="108">
        <f>SUMIF('лютий'!$B$3:$B$38,$B43,'лютий'!$C$3:$C$38)</f>
        <v>0</v>
      </c>
      <c r="O43" s="109">
        <f t="shared" si="3"/>
        <v>3000</v>
      </c>
    </row>
    <row r="44" ht="14.25" customHeight="1">
      <c r="A44" s="90"/>
      <c r="B44" s="26" t="s">
        <v>178</v>
      </c>
      <c r="C44" s="108">
        <f>SUMIF('січень'!$B$4:$B$40,$B44,'січень'!$C$3:$C$40)</f>
        <v>0</v>
      </c>
      <c r="D44" s="108">
        <f>SUMIF('лютий'!$B$3:$B$38,$B44,'лютий'!$C$3:$C$38)</f>
        <v>0</v>
      </c>
      <c r="E44" s="108">
        <f>SUMIF('лютий'!$B$3:$B$38,$B44,'лютий'!$C$3:$C$38)</f>
        <v>0</v>
      </c>
      <c r="F44" s="108">
        <f>SUMIF('лютий'!$B$3:$B$38,$B44,'лютий'!$C$3:$C$38)</f>
        <v>0</v>
      </c>
      <c r="G44" s="108">
        <f>SUMIF('лютий'!$B$3:$B$38,$B44,'лютий'!$C$3:$C$38)</f>
        <v>0</v>
      </c>
      <c r="H44" s="108">
        <f>'червень'!C6</f>
        <v>20000</v>
      </c>
      <c r="I44" s="108">
        <f>SUMIF('лютий'!$B$3:$B$38,$B44,'лютий'!$C$3:$C$38)</f>
        <v>0</v>
      </c>
      <c r="J44" s="108">
        <f>SUMIF('лютий'!$B$3:$B$38,$B44,'лютий'!$C$3:$C$38)</f>
        <v>0</v>
      </c>
      <c r="K44" s="108">
        <f>SUMIF('лютий'!$B$3:$B$38,$B44,'лютий'!$C$3:$C$38)</f>
        <v>0</v>
      </c>
      <c r="L44" s="108">
        <f>SUMIF('лютий'!$B$3:$B$38,$B44,'лютий'!$C$3:$C$38)</f>
        <v>0</v>
      </c>
      <c r="M44" s="108">
        <f>SUMIF('лютий'!$B$3:$B$38,$B44,'лютий'!$C$3:$C$38)</f>
        <v>0</v>
      </c>
      <c r="N44" s="108">
        <f>SUMIF('лютий'!$B$3:$B$38,$B44,'лютий'!$C$3:$C$38)</f>
        <v>0</v>
      </c>
      <c r="O44" s="109">
        <f t="shared" si="3"/>
        <v>20000</v>
      </c>
    </row>
    <row r="45" ht="14.25" customHeight="1">
      <c r="A45" s="90"/>
      <c r="B45" s="26" t="s">
        <v>179</v>
      </c>
      <c r="C45" s="108">
        <f>SUMIF('січень'!$B$4:$B$40,$B45,'січень'!$C$3:$C$40)</f>
        <v>0</v>
      </c>
      <c r="D45" s="108">
        <f>SUMIF('лютий'!$B$3:$B$38,$B45,'лютий'!$C$3:$C$38)</f>
        <v>0</v>
      </c>
      <c r="E45" s="108">
        <f>SUMIF('лютий'!$B$3:$B$38,$B45,'лютий'!$C$3:$C$38)</f>
        <v>0</v>
      </c>
      <c r="F45" s="108">
        <f>SUMIF('лютий'!$B$3:$B$38,$B45,'лютий'!$C$3:$C$38)</f>
        <v>0</v>
      </c>
      <c r="G45" s="108">
        <f>SUMIF('лютий'!$B$3:$B$38,$B45,'лютий'!$C$3:$C$38)</f>
        <v>0</v>
      </c>
      <c r="H45" s="108">
        <f>'червень'!C7</f>
        <v>15114.4</v>
      </c>
      <c r="I45" s="108">
        <f>SUMIF('лютий'!$B$3:$B$38,$B45,'лютий'!$C$3:$C$38)</f>
        <v>0</v>
      </c>
      <c r="J45" s="108">
        <f>SUMIF('лютий'!$B$3:$B$38,$B45,'лютий'!$C$3:$C$38)</f>
        <v>0</v>
      </c>
      <c r="K45" s="108">
        <f>SUMIF('лютий'!$B$3:$B$38,$B45,'лютий'!$C$3:$C$38)</f>
        <v>0</v>
      </c>
      <c r="L45" s="108">
        <f>SUMIF('лютий'!$B$3:$B$38,$B45,'лютий'!$C$3:$C$38)</f>
        <v>0</v>
      </c>
      <c r="M45" s="108">
        <f>SUMIF('лютий'!$B$3:$B$38,$B45,'лютий'!$C$3:$C$38)</f>
        <v>0</v>
      </c>
      <c r="N45" s="108">
        <f>SUMIF('лютий'!$B$3:$B$38,$B45,'лютий'!$C$3:$C$38)</f>
        <v>0</v>
      </c>
      <c r="O45" s="109">
        <f t="shared" si="3"/>
        <v>15114.4</v>
      </c>
    </row>
    <row r="46" ht="14.25" customHeight="1">
      <c r="A46" s="90"/>
      <c r="B46" s="26" t="s">
        <v>381</v>
      </c>
      <c r="C46" s="108">
        <f>SUMIF('січень'!$B$4:$B$40,$B46,'січень'!$C$3:$C$40)</f>
        <v>0</v>
      </c>
      <c r="D46" s="108">
        <f>SUMIF('лютий'!$B$3:$B$38,$B46,'лютий'!$C$3:$C$38)</f>
        <v>0</v>
      </c>
      <c r="E46" s="108">
        <f>SUMIF('лютий'!$B$3:$B$38,$B46,'лютий'!$C$3:$C$38)</f>
        <v>0</v>
      </c>
      <c r="F46" s="108">
        <f>SUMIF('лютий'!$B$3:$B$38,$B46,'лютий'!$C$3:$C$38)</f>
        <v>0</v>
      </c>
      <c r="G46" s="108">
        <f>SUMIF('лютий'!$B$3:$B$38,$B46,'лютий'!$C$3:$C$38)</f>
        <v>0</v>
      </c>
      <c r="H46" s="108">
        <f>'червень'!C8</f>
        <v>200744.24</v>
      </c>
      <c r="I46" s="108">
        <f>SUMIF('лютий'!$B$3:$B$38,$B46,'лютий'!$C$3:$C$38)</f>
        <v>0</v>
      </c>
      <c r="J46" s="108">
        <f>SUMIF('лютий'!$B$3:$B$38,$B46,'лютий'!$C$3:$C$38)</f>
        <v>0</v>
      </c>
      <c r="K46" s="108">
        <f>SUMIF('лютий'!$B$3:$B$38,$B46,'лютий'!$C$3:$C$38)</f>
        <v>0</v>
      </c>
      <c r="L46" s="108">
        <f>SUMIF('лютий'!$B$3:$B$38,$B46,'лютий'!$C$3:$C$38)</f>
        <v>0</v>
      </c>
      <c r="M46" s="108">
        <f>SUMIF('лютий'!$B$3:$B$38,$B46,'лютий'!$C$3:$C$38)</f>
        <v>0</v>
      </c>
      <c r="N46" s="108">
        <f>SUMIF('лютий'!$B$3:$B$38,$B46,'лютий'!$C$3:$C$38)</f>
        <v>0</v>
      </c>
      <c r="O46" s="109">
        <f t="shared" si="3"/>
        <v>200744.24</v>
      </c>
    </row>
    <row r="47" ht="14.25" customHeight="1">
      <c r="A47" s="90"/>
      <c r="B47" s="26" t="s">
        <v>191</v>
      </c>
      <c r="C47" s="108">
        <f>SUMIF('січень'!$B$4:$B$40,$B47,'січень'!$C$3:$C$40)</f>
        <v>0</v>
      </c>
      <c r="D47" s="108">
        <f>SUMIF('лютий'!$B$3:$B$38,$B47,'лютий'!$C$3:$C$38)</f>
        <v>0</v>
      </c>
      <c r="E47" s="108">
        <f>SUMIF('лютий'!$B$3:$B$38,$B47,'лютий'!$C$3:$C$38)</f>
        <v>0</v>
      </c>
      <c r="F47" s="108">
        <f>SUMIF('лютий'!$B$3:$B$38,$B47,'лютий'!$C$3:$C$38)</f>
        <v>0</v>
      </c>
      <c r="G47" s="108">
        <f>SUMIF('лютий'!$B$3:$B$38,$B47,'лютий'!$C$3:$C$38)</f>
        <v>0</v>
      </c>
      <c r="H47" s="108">
        <f>'червень'!C42</f>
        <v>731372</v>
      </c>
      <c r="I47" s="108">
        <f>SUMIF('лютий'!$B$3:$B$38,$B47,'лютий'!$C$3:$C$38)</f>
        <v>0</v>
      </c>
      <c r="J47" s="108">
        <f>SUMIF('лютий'!$B$3:$B$38,$B47,'лютий'!$C$3:$C$38)</f>
        <v>0</v>
      </c>
      <c r="K47" s="108">
        <f>SUMIF('лютий'!$B$3:$B$38,$B47,'лютий'!$C$3:$C$38)</f>
        <v>0</v>
      </c>
      <c r="L47" s="108">
        <f>SUMIF('лютий'!$B$3:$B$38,$B47,'лютий'!$C$3:$C$38)</f>
        <v>0</v>
      </c>
      <c r="M47" s="108">
        <f>SUMIF('лютий'!$B$3:$B$38,$B47,'лютий'!$C$3:$C$38)</f>
        <v>0</v>
      </c>
      <c r="N47" s="108">
        <f>SUMIF('лютий'!$B$3:$B$38,$B47,'лютий'!$C$3:$C$38)</f>
        <v>0</v>
      </c>
      <c r="O47" s="109">
        <f t="shared" si="3"/>
        <v>731372</v>
      </c>
    </row>
    <row r="48" ht="14.25" customHeight="1">
      <c r="A48" s="90"/>
      <c r="B48" s="26" t="s">
        <v>382</v>
      </c>
      <c r="C48" s="108">
        <f>SUMIF('січень'!$B$4:$B$40,$B48,'січень'!$C$3:$C$40)</f>
        <v>0</v>
      </c>
      <c r="D48" s="108">
        <f>SUMIF('лютий'!$B$3:$B$38,$B48,'лютий'!$C$3:$C$38)</f>
        <v>0</v>
      </c>
      <c r="E48" s="107">
        <v>0.0</v>
      </c>
      <c r="F48" s="108">
        <f>SUMIF('лютий'!$B$3:$B$38,$B48,'лютий'!$C$3:$C$38)</f>
        <v>0</v>
      </c>
      <c r="G48" s="108">
        <f>SUMIF('лютий'!$B$3:$B$38,$B48,'лютий'!$C$3:$C$38)</f>
        <v>0</v>
      </c>
      <c r="H48" s="108">
        <f>SUMIF('лютий'!$B$3:$B$38,$B48,'лютий'!$C$3:$C$38)</f>
        <v>0</v>
      </c>
      <c r="I48" s="108">
        <f>'липень'!C65</f>
        <v>20332.15</v>
      </c>
      <c r="J48" s="108">
        <f>SUMIF('лютий'!$B$3:$B$38,$B48,'лютий'!$C$3:$C$38)</f>
        <v>0</v>
      </c>
      <c r="K48" s="108">
        <f>SUMIF('лютий'!$B$3:$B$38,$B48,'лютий'!$C$3:$C$38)</f>
        <v>0</v>
      </c>
      <c r="L48" s="108">
        <f>SUMIF('лютий'!$B$3:$B$38,$B48,'лютий'!$C$3:$C$38)</f>
        <v>0</v>
      </c>
      <c r="M48" s="108">
        <f>SUMIF('лютий'!$B$3:$B$38,$B48,'лютий'!$C$3:$C$38)</f>
        <v>0</v>
      </c>
      <c r="N48" s="108">
        <f>SUMIF('лютий'!$B$3:$B$38,$B48,'лютий'!$C$3:$C$38)</f>
        <v>0</v>
      </c>
      <c r="O48" s="109">
        <f t="shared" si="3"/>
        <v>20332.15</v>
      </c>
    </row>
    <row r="49" ht="14.25" customHeight="1">
      <c r="A49" s="90"/>
      <c r="B49" s="26" t="s">
        <v>230</v>
      </c>
      <c r="C49" s="108">
        <f>SUMIF('січень'!$B$4:$B$40,$B49,'січень'!$C$3:$C$40)</f>
        <v>0</v>
      </c>
      <c r="D49" s="108">
        <f>SUMIF('лютий'!$B$3:$B$38,$B49,'лютий'!$C$3:$C$38)</f>
        <v>0</v>
      </c>
      <c r="E49" s="107">
        <v>0.0</v>
      </c>
      <c r="F49" s="108">
        <f>SUMIF('лютий'!$B$3:$B$38,$B49,'лютий'!$C$3:$C$38)</f>
        <v>0</v>
      </c>
      <c r="G49" s="108">
        <f>SUMIF('лютий'!$B$3:$B$38,$B49,'лютий'!$C$3:$C$38)</f>
        <v>0</v>
      </c>
      <c r="H49" s="108">
        <f>SUMIF('лютий'!$B$3:$B$38,$B49,'лютий'!$C$3:$C$38)</f>
        <v>0</v>
      </c>
      <c r="I49" s="108">
        <f>'липень'!C74</f>
        <v>202279</v>
      </c>
      <c r="J49" s="108">
        <f>SUMIF('лютий'!$B$3:$B$38,$B49,'лютий'!$C$3:$C$38)</f>
        <v>0</v>
      </c>
      <c r="K49" s="108">
        <f>SUMIF('лютий'!$B$3:$B$38,$B49,'лютий'!$C$3:$C$38)</f>
        <v>0</v>
      </c>
      <c r="L49" s="108">
        <f>SUMIF('лютий'!$B$3:$B$38,$B49,'лютий'!$C$3:$C$38)</f>
        <v>0</v>
      </c>
      <c r="M49" s="108">
        <f>SUMIF('лютий'!$B$3:$B$38,$B49,'лютий'!$C$3:$C$38)</f>
        <v>0</v>
      </c>
      <c r="N49" s="108">
        <f>SUMIF('лютий'!$B$3:$B$38,$B49,'лютий'!$C$3:$C$38)</f>
        <v>0</v>
      </c>
      <c r="O49" s="109">
        <f t="shared" si="3"/>
        <v>202279</v>
      </c>
    </row>
    <row r="50" ht="14.25" customHeight="1">
      <c r="A50" s="90"/>
      <c r="B50" s="26" t="s">
        <v>246</v>
      </c>
      <c r="C50" s="108">
        <f>SUMIF('січень'!$B$4:$B$40,$B50,'січень'!$C$3:$C$40)</f>
        <v>0</v>
      </c>
      <c r="D50" s="108">
        <f>SUMIF('лютий'!$B$3:$B$38,$B50,'лютий'!$C$3:$C$38)</f>
        <v>0</v>
      </c>
      <c r="E50" s="108">
        <f>SUMIF('лютий'!$B$3:$B$38,$B50,'лютий'!$C$3:$C$38)</f>
        <v>0</v>
      </c>
      <c r="F50" s="108">
        <f>SUMIF('лютий'!$B$3:$B$38,$B50,'лютий'!$C$3:$C$38)</f>
        <v>0</v>
      </c>
      <c r="G50" s="108">
        <f>SUMIF('лютий'!$B$3:$B$38,$B50,'лютий'!$C$3:$C$38)</f>
        <v>0</v>
      </c>
      <c r="H50" s="108">
        <f>SUMIF('лютий'!$B$3:$B$38,$B50,'лютий'!$C$3:$C$38)</f>
        <v>0</v>
      </c>
      <c r="I50" s="108">
        <f>SUMIF('лютий'!$B$3:$B$38,$B50,'лютий'!$C$3:$C$38)</f>
        <v>0</v>
      </c>
      <c r="J50" s="107">
        <f>'серпень'!C62+'серпень'!C39</f>
        <v>478500</v>
      </c>
      <c r="K50" s="108">
        <f>'вересень'!C62</f>
        <v>35000</v>
      </c>
      <c r="L50" s="108">
        <f>'жовтень'!C53</f>
        <v>35000</v>
      </c>
      <c r="M50" s="108">
        <f>'листопад'!C59</f>
        <v>35000</v>
      </c>
      <c r="N50" s="108">
        <f>SUMIF('лютий'!$B$3:$B$38,$B50,'лютий'!$C$3:$C$38)</f>
        <v>0</v>
      </c>
      <c r="O50" s="109">
        <f t="shared" si="3"/>
        <v>583500</v>
      </c>
    </row>
    <row r="51" ht="14.25" customHeight="1">
      <c r="A51" s="90"/>
      <c r="B51" s="26" t="s">
        <v>248</v>
      </c>
      <c r="C51" s="108">
        <f>SUMIF('січень'!$B$4:$B$40,$B51,'січень'!$C$3:$C$40)</f>
        <v>0</v>
      </c>
      <c r="D51" s="108">
        <f>SUMIF('лютий'!$B$3:$B$38,$B51,'лютий'!$C$3:$C$38)</f>
        <v>0</v>
      </c>
      <c r="E51" s="108">
        <f>SUMIF('лютий'!$B$3:$B$38,$B51,'лютий'!$C$3:$C$38)</f>
        <v>0</v>
      </c>
      <c r="F51" s="108">
        <f>SUMIF('лютий'!$B$3:$B$38,$B51,'лютий'!$C$3:$C$38)</f>
        <v>0</v>
      </c>
      <c r="G51" s="108">
        <f>SUMIF('лютий'!$B$3:$B$38,$B51,'лютий'!$C$3:$C$38)</f>
        <v>0</v>
      </c>
      <c r="H51" s="108">
        <f>SUMIF('лютий'!$B$3:$B$38,$B51,'лютий'!$C$3:$C$38)</f>
        <v>0</v>
      </c>
      <c r="I51" s="108">
        <f>SUMIF('лютий'!$B$3:$B$38,$B51,'лютий'!$C$3:$C$38)</f>
        <v>0</v>
      </c>
      <c r="J51" s="108">
        <f>'серпень'!C41</f>
        <v>7855</v>
      </c>
      <c r="K51" s="108">
        <f>SUMIF('лютий'!$B$3:$B$38,$B51,'лютий'!$C$3:$C$38)</f>
        <v>0</v>
      </c>
      <c r="L51" s="108">
        <f>SUMIF('лютий'!$B$3:$B$38,$B51,'лютий'!$C$3:$C$38)</f>
        <v>0</v>
      </c>
      <c r="M51" s="108">
        <f>SUMIF('лютий'!$B$3:$B$38,$B51,'лютий'!$C$3:$C$38)</f>
        <v>0</v>
      </c>
      <c r="N51" s="108">
        <f>SUMIF('лютий'!$B$3:$B$38,$B51,'лютий'!$C$3:$C$38)</f>
        <v>0</v>
      </c>
      <c r="O51" s="109">
        <f t="shared" si="3"/>
        <v>7855</v>
      </c>
    </row>
    <row r="52" ht="14.25" customHeight="1">
      <c r="A52" s="90"/>
      <c r="B52" s="26" t="s">
        <v>252</v>
      </c>
      <c r="C52" s="108">
        <f>SUMIF('січень'!$B$4:$B$40,$B52,'січень'!$C$3:$C$40)</f>
        <v>0</v>
      </c>
      <c r="D52" s="108">
        <f>SUMIF('лютий'!$B$3:$B$38,$B52,'лютий'!$C$3:$C$38)</f>
        <v>0</v>
      </c>
      <c r="E52" s="108">
        <f>SUMIF('лютий'!$B$3:$B$38,$B52,'лютий'!$C$3:$C$38)</f>
        <v>0</v>
      </c>
      <c r="F52" s="108">
        <f>SUMIF('лютий'!$B$3:$B$38,$B52,'лютий'!$C$3:$C$38)</f>
        <v>0</v>
      </c>
      <c r="G52" s="108">
        <f>SUMIF('лютий'!$B$3:$B$38,$B52,'лютий'!$C$3:$C$38)</f>
        <v>0</v>
      </c>
      <c r="H52" s="108">
        <f>SUMIF('лютий'!$B$3:$B$38,$B52,'лютий'!$C$3:$C$38)</f>
        <v>0</v>
      </c>
      <c r="I52" s="108">
        <f>SUMIF('лютий'!$B$3:$B$38,$B52,'лютий'!$C$3:$C$38)</f>
        <v>0</v>
      </c>
      <c r="J52" s="108">
        <f>'серпень'!C46</f>
        <v>47669.4</v>
      </c>
      <c r="K52" s="108">
        <f>SUMIF('лютий'!$B$3:$B$38,$B52,'лютий'!$C$3:$C$38)</f>
        <v>0</v>
      </c>
      <c r="L52" s="108">
        <f>SUMIF('лютий'!$B$3:$B$38,$B52,'лютий'!$C$3:$C$38)</f>
        <v>0</v>
      </c>
      <c r="M52" s="108">
        <f>SUMIF('лютий'!$B$3:$B$38,$B52,'лютий'!$C$3:$C$38)</f>
        <v>0</v>
      </c>
      <c r="N52" s="108">
        <f>SUMIF('лютий'!$B$3:$B$38,$B52,'лютий'!$C$3:$C$38)</f>
        <v>0</v>
      </c>
      <c r="O52" s="109">
        <f t="shared" si="3"/>
        <v>47669.4</v>
      </c>
    </row>
    <row r="53" ht="14.25" customHeight="1">
      <c r="A53" s="90"/>
      <c r="B53" s="26" t="s">
        <v>254</v>
      </c>
      <c r="C53" s="108">
        <f>SUMIF('січень'!$B$4:$B$40,$B53,'січень'!$C$3:$C$40)</f>
        <v>0</v>
      </c>
      <c r="D53" s="108">
        <f>SUMIF('лютий'!$B$3:$B$38,$B53,'лютий'!$C$3:$C$38)</f>
        <v>0</v>
      </c>
      <c r="E53" s="108">
        <f>SUMIF('лютий'!$B$3:$B$38,$B53,'лютий'!$C$3:$C$38)</f>
        <v>0</v>
      </c>
      <c r="F53" s="108">
        <f>SUMIF('лютий'!$B$3:$B$38,$B53,'лютий'!$C$3:$C$38)</f>
        <v>0</v>
      </c>
      <c r="G53" s="108">
        <f>SUMIF('лютий'!$B$3:$B$38,$B53,'лютий'!$C$3:$C$38)</f>
        <v>0</v>
      </c>
      <c r="H53" s="108">
        <f>SUMIF('лютий'!$B$3:$B$38,$B53,'лютий'!$C$3:$C$38)</f>
        <v>0</v>
      </c>
      <c r="I53" s="108">
        <f>SUMIF('лютий'!$B$3:$B$38,$B53,'лютий'!$C$3:$C$38)</f>
        <v>0</v>
      </c>
      <c r="J53" s="108">
        <f>'серпень'!C48</f>
        <v>7855</v>
      </c>
      <c r="K53" s="108">
        <f>SUMIF('лютий'!$B$3:$B$38,$B53,'лютий'!$C$3:$C$38)</f>
        <v>0</v>
      </c>
      <c r="L53" s="108">
        <f>SUMIF('лютий'!$B$3:$B$38,$B53,'лютий'!$C$3:$C$38)</f>
        <v>0</v>
      </c>
      <c r="M53" s="108">
        <f>SUMIF('лютий'!$B$3:$B$38,$B53,'лютий'!$C$3:$C$38)</f>
        <v>0</v>
      </c>
      <c r="N53" s="108">
        <f>SUMIF('лютий'!$B$3:$B$38,$B53,'лютий'!$C$3:$C$38)</f>
        <v>0</v>
      </c>
      <c r="O53" s="109">
        <f t="shared" si="3"/>
        <v>7855</v>
      </c>
    </row>
    <row r="54" ht="14.25" customHeight="1">
      <c r="A54" s="90"/>
      <c r="B54" s="26" t="s">
        <v>258</v>
      </c>
      <c r="C54" s="108">
        <f>SUMIF('січень'!$B$4:$B$40,$B54,'січень'!$C$3:$C$40)</f>
        <v>0</v>
      </c>
      <c r="D54" s="108">
        <f>SUMIF('лютий'!$B$3:$B$38,$B54,'лютий'!$C$3:$C$38)</f>
        <v>0</v>
      </c>
      <c r="E54" s="108">
        <f>SUMIF('лютий'!$B$3:$B$38,$B54,'лютий'!$C$3:$C$38)</f>
        <v>0</v>
      </c>
      <c r="F54" s="108">
        <f>SUMIF('лютий'!$B$3:$B$38,$B54,'лютий'!$C$3:$C$38)</f>
        <v>0</v>
      </c>
      <c r="G54" s="108">
        <f>SUMIF('лютий'!$B$3:$B$38,$B54,'лютий'!$C$3:$C$38)</f>
        <v>0</v>
      </c>
      <c r="H54" s="108">
        <f>SUMIF('лютий'!$B$3:$B$38,$B54,'лютий'!$C$3:$C$38)</f>
        <v>0</v>
      </c>
      <c r="I54" s="108">
        <f>SUMIF('лютий'!$B$3:$B$38,$B54,'лютий'!$C$3:$C$38)</f>
        <v>0</v>
      </c>
      <c r="J54" s="108">
        <f>'серпень'!C53</f>
        <v>42203</v>
      </c>
      <c r="K54" s="108">
        <f>SUMIF('лютий'!$B$3:$B$38,$B54,'лютий'!$C$3:$C$38)</f>
        <v>0</v>
      </c>
      <c r="L54" s="108">
        <f>SUMIF('лютий'!$B$3:$B$38,$B54,'лютий'!$C$3:$C$38)</f>
        <v>0</v>
      </c>
      <c r="M54" s="108">
        <f>'листопад'!C9</f>
        <v>16204</v>
      </c>
      <c r="N54" s="108">
        <f>SUMIF('лютий'!$B$3:$B$38,$B54,'лютий'!$C$3:$C$38)</f>
        <v>0</v>
      </c>
      <c r="O54" s="109">
        <f t="shared" si="3"/>
        <v>58407</v>
      </c>
    </row>
    <row r="55" ht="14.25" customHeight="1">
      <c r="A55" s="90"/>
      <c r="B55" s="26" t="s">
        <v>285</v>
      </c>
      <c r="C55" s="108">
        <f>SUMIF('січень'!$B$4:$B$40,$B55,'січень'!$C$3:$C$40)</f>
        <v>0</v>
      </c>
      <c r="D55" s="108">
        <f>SUMIF('лютий'!$B$3:$B$38,$B55,'лютий'!$C$3:$C$38)</f>
        <v>0</v>
      </c>
      <c r="E55" s="108">
        <f>SUMIF('лютий'!$B$3:$B$38,$B55,'лютий'!$C$3:$C$38)</f>
        <v>0</v>
      </c>
      <c r="F55" s="108">
        <f>SUMIF('лютий'!$B$3:$B$38,$B55,'лютий'!$C$3:$C$38)</f>
        <v>0</v>
      </c>
      <c r="G55" s="108">
        <f>SUMIF('лютий'!$B$3:$B$38,$B55,'лютий'!$C$3:$C$38)</f>
        <v>0</v>
      </c>
      <c r="H55" s="108">
        <f>SUMIF('лютий'!$B$3:$B$38,$B55,'лютий'!$C$3:$C$38)</f>
        <v>0</v>
      </c>
      <c r="I55" s="108">
        <f>SUMIF('лютий'!$B$3:$B$38,$B55,'лютий'!$C$3:$C$38)</f>
        <v>0</v>
      </c>
      <c r="J55" s="108">
        <f>SUMIF('лютий'!$B$3:$B$38,$B55,'лютий'!$C$3:$C$38)</f>
        <v>0</v>
      </c>
      <c r="K55" s="108">
        <f>'вересень'!C28</f>
        <v>100000</v>
      </c>
      <c r="L55" s="108">
        <f>SUMIF('лютий'!$B$3:$B$38,$B55,'лютий'!$C$3:$C$38)</f>
        <v>0</v>
      </c>
      <c r="M55" s="108">
        <f>SUMIF('лютий'!$B$3:$B$38,$B55,'лютий'!$C$3:$C$38)</f>
        <v>0</v>
      </c>
      <c r="N55" s="108">
        <f>SUMIF('лютий'!$B$3:$B$38,$B55,'лютий'!$C$3:$C$38)</f>
        <v>0</v>
      </c>
      <c r="O55" s="109">
        <f t="shared" si="3"/>
        <v>100000</v>
      </c>
    </row>
    <row r="56" ht="14.25" customHeight="1">
      <c r="A56" s="90"/>
      <c r="B56" s="26" t="s">
        <v>290</v>
      </c>
      <c r="C56" s="108">
        <f>SUMIF('січень'!$B$4:$B$40,$B56,'січень'!$C$3:$C$40)</f>
        <v>0</v>
      </c>
      <c r="D56" s="108">
        <f>SUMIF('лютий'!$B$3:$B$38,$B56,'лютий'!$C$3:$C$38)</f>
        <v>0</v>
      </c>
      <c r="E56" s="108">
        <f>SUMIF('лютий'!$B$3:$B$38,$B56,'лютий'!$C$3:$C$38)</f>
        <v>0</v>
      </c>
      <c r="F56" s="108">
        <f>SUMIF('лютий'!$B$3:$B$38,$B56,'лютий'!$C$3:$C$38)</f>
        <v>0</v>
      </c>
      <c r="G56" s="108">
        <f>SUMIF('лютий'!$B$3:$B$38,$B56,'лютий'!$C$3:$C$38)</f>
        <v>0</v>
      </c>
      <c r="H56" s="108">
        <f>SUMIF('лютий'!$B$3:$B$38,$B56,'лютий'!$C$3:$C$38)</f>
        <v>0</v>
      </c>
      <c r="I56" s="108">
        <f>SUMIF('лютий'!$B$3:$B$38,$B56,'лютий'!$C$3:$C$38)</f>
        <v>0</v>
      </c>
      <c r="J56" s="108">
        <f>SUMIF('лютий'!$B$3:$B$38,$B56,'лютий'!$C$3:$C$38)</f>
        <v>0</v>
      </c>
      <c r="K56" s="108">
        <f>'вересень'!C47</f>
        <v>40705</v>
      </c>
      <c r="L56" s="108">
        <f>SUMIF('лютий'!$B$3:$B$38,$B56,'лютий'!$C$3:$C$38)</f>
        <v>0</v>
      </c>
      <c r="M56" s="108">
        <f>SUMIF('лютий'!$B$3:$B$38,$B56,'лютий'!$C$3:$C$38)</f>
        <v>0</v>
      </c>
      <c r="N56" s="108">
        <f>SUMIF('лютий'!$B$3:$B$38,$B56,'лютий'!$C$3:$C$38)</f>
        <v>0</v>
      </c>
      <c r="O56" s="109">
        <f t="shared" si="3"/>
        <v>40705</v>
      </c>
    </row>
    <row r="57" ht="14.25" customHeight="1">
      <c r="A57" s="90"/>
      <c r="B57" s="26" t="s">
        <v>292</v>
      </c>
      <c r="C57" s="108">
        <f>SUMIF('січень'!$B$4:$B$40,$B57,'січень'!$C$3:$C$40)</f>
        <v>0</v>
      </c>
      <c r="D57" s="108">
        <f>SUMIF('лютий'!$B$3:$B$38,$B57,'лютий'!$C$3:$C$38)</f>
        <v>0</v>
      </c>
      <c r="E57" s="108">
        <f>SUMIF('лютий'!$B$3:$B$38,$B57,'лютий'!$C$3:$C$38)</f>
        <v>0</v>
      </c>
      <c r="F57" s="108">
        <f>SUMIF('лютий'!$B$3:$B$38,$B57,'лютий'!$C$3:$C$38)</f>
        <v>0</v>
      </c>
      <c r="G57" s="108">
        <f>SUMIF('лютий'!$B$3:$B$38,$B57,'лютий'!$C$3:$C$38)</f>
        <v>0</v>
      </c>
      <c r="H57" s="108">
        <f>SUMIF('лютий'!$B$3:$B$38,$B57,'лютий'!$C$3:$C$38)</f>
        <v>0</v>
      </c>
      <c r="I57" s="108">
        <f>SUMIF('лютий'!$B$3:$B$38,$B57,'лютий'!$C$3:$C$38)</f>
        <v>0</v>
      </c>
      <c r="J57" s="108">
        <f>SUMIF('лютий'!$B$3:$B$38,$B57,'лютий'!$C$3:$C$38)</f>
        <v>0</v>
      </c>
      <c r="K57" s="108">
        <f>'вересень'!C60</f>
        <v>1344938.65</v>
      </c>
      <c r="L57" s="108">
        <f>SUMIF('лютий'!$B$3:$B$38,$B57,'лютий'!$C$3:$C$38)</f>
        <v>0</v>
      </c>
      <c r="M57" s="108">
        <f>SUMIF('лютий'!$B$3:$B$38,$B57,'лютий'!$C$3:$C$38)</f>
        <v>0</v>
      </c>
      <c r="N57" s="108">
        <f>SUMIF('лютий'!$B$3:$B$38,$B57,'лютий'!$C$3:$C$38)</f>
        <v>0</v>
      </c>
      <c r="O57" s="109">
        <f t="shared" si="3"/>
        <v>1344938.65</v>
      </c>
    </row>
    <row r="58" ht="14.25" customHeight="1">
      <c r="A58" s="90"/>
      <c r="B58" s="26" t="s">
        <v>383</v>
      </c>
      <c r="C58" s="108">
        <f>SUMIF('січень'!$B$4:$B$40,$B58,'січень'!$C$3:$C$40)</f>
        <v>0</v>
      </c>
      <c r="D58" s="108">
        <f>SUMIF('лютий'!$B$3:$B$38,$B58,'лютий'!$C$3:$C$38)</f>
        <v>0</v>
      </c>
      <c r="E58" s="107">
        <v>0.0</v>
      </c>
      <c r="F58" s="108">
        <f>SUMIF('лютий'!$B$3:$B$38,$B58,'лютий'!$C$3:$C$38)</f>
        <v>0</v>
      </c>
      <c r="G58" s="108">
        <f>SUMIF('лютий'!$B$3:$B$38,$B58,'лютий'!$C$3:$C$38)</f>
        <v>0</v>
      </c>
      <c r="H58" s="108">
        <f>SUMIF('лютий'!$B$3:$B$38,$B58,'лютий'!$C$3:$C$38)</f>
        <v>0</v>
      </c>
      <c r="I58" s="108">
        <f>SUMIF('лютий'!$B$3:$B$38,$B58,'лютий'!$C$3:$C$38)</f>
        <v>0</v>
      </c>
      <c r="J58" s="108">
        <f>SUMIF('лютий'!$B$3:$B$38,$B58,'лютий'!$C$3:$C$38)</f>
        <v>0</v>
      </c>
      <c r="K58" s="108">
        <f>SUMIF('лютий'!$B$3:$B$38,$B58,'лютий'!$C$3:$C$38)</f>
        <v>0</v>
      </c>
      <c r="L58" s="108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08">
        <f>SUMIF('лютий'!$B$3:$B$38,$B58,'лютий'!$C$3:$C$38)</f>
        <v>0</v>
      </c>
      <c r="N58" s="108">
        <f>SUMIF('лютий'!$B$3:$B$38,$B58,'лютий'!$C$3:$C$38)</f>
        <v>0</v>
      </c>
      <c r="O58" s="109">
        <f t="shared" si="3"/>
        <v>0</v>
      </c>
    </row>
    <row r="59" ht="14.25" customHeight="1">
      <c r="A59" s="90"/>
      <c r="B59" s="26" t="s">
        <v>308</v>
      </c>
      <c r="C59" s="107">
        <v>0.0</v>
      </c>
      <c r="D59" s="107">
        <v>0.0</v>
      </c>
      <c r="E59" s="107">
        <v>0.0</v>
      </c>
      <c r="F59" s="107">
        <v>0.0</v>
      </c>
      <c r="G59" s="107">
        <v>0.0</v>
      </c>
      <c r="H59" s="107">
        <v>0.0</v>
      </c>
      <c r="I59" s="107">
        <v>0.0</v>
      </c>
      <c r="J59" s="107">
        <v>0.0</v>
      </c>
      <c r="K59" s="107">
        <v>0.0</v>
      </c>
      <c r="L59" s="107">
        <f>'жовтень'!C29</f>
        <v>136840</v>
      </c>
      <c r="M59" s="107">
        <v>0.0</v>
      </c>
      <c r="N59" s="107">
        <v>0.0</v>
      </c>
      <c r="O59" s="109">
        <f t="shared" si="3"/>
        <v>136840</v>
      </c>
    </row>
    <row r="60" ht="14.25" customHeight="1">
      <c r="A60" s="90"/>
      <c r="B60" s="26" t="s">
        <v>317</v>
      </c>
      <c r="C60" s="107">
        <v>0.0</v>
      </c>
      <c r="D60" s="107">
        <v>0.0</v>
      </c>
      <c r="E60" s="107">
        <v>0.0</v>
      </c>
      <c r="F60" s="107">
        <v>0.0</v>
      </c>
      <c r="G60" s="107">
        <v>0.0</v>
      </c>
      <c r="H60" s="107">
        <v>0.0</v>
      </c>
      <c r="I60" s="107">
        <v>0.0</v>
      </c>
      <c r="J60" s="107">
        <v>0.0</v>
      </c>
      <c r="K60" s="107">
        <v>0.0</v>
      </c>
      <c r="L60" s="107">
        <f>'жовтень'!C39</f>
        <v>100000</v>
      </c>
      <c r="M60" s="107">
        <v>0.0</v>
      </c>
      <c r="N60" s="107">
        <v>0.0</v>
      </c>
      <c r="O60" s="109">
        <f t="shared" si="3"/>
        <v>100000</v>
      </c>
    </row>
    <row r="61" ht="14.25" customHeight="1">
      <c r="A61" s="90"/>
      <c r="B61" s="26" t="s">
        <v>321</v>
      </c>
      <c r="C61" s="107">
        <v>0.0</v>
      </c>
      <c r="D61" s="107">
        <v>0.0</v>
      </c>
      <c r="E61" s="107">
        <v>0.0</v>
      </c>
      <c r="F61" s="107">
        <v>0.0</v>
      </c>
      <c r="G61" s="107">
        <v>0.0</v>
      </c>
      <c r="H61" s="107">
        <v>0.0</v>
      </c>
      <c r="I61" s="107">
        <v>0.0</v>
      </c>
      <c r="J61" s="107">
        <v>0.0</v>
      </c>
      <c r="K61" s="107">
        <v>0.0</v>
      </c>
      <c r="L61" s="107">
        <f>'жовтень'!C51</f>
        <v>25350</v>
      </c>
      <c r="M61" s="107">
        <v>0.0</v>
      </c>
      <c r="N61" s="107">
        <v>0.0</v>
      </c>
      <c r="O61" s="109">
        <f t="shared" si="3"/>
        <v>25350</v>
      </c>
    </row>
    <row r="62" ht="14.25" customHeight="1">
      <c r="A62" s="90"/>
      <c r="B62" s="26" t="s">
        <v>326</v>
      </c>
      <c r="C62" s="107">
        <v>0.0</v>
      </c>
      <c r="D62" s="107">
        <v>0.0</v>
      </c>
      <c r="E62" s="107">
        <v>0.0</v>
      </c>
      <c r="F62" s="107">
        <v>0.0</v>
      </c>
      <c r="G62" s="107">
        <v>0.0</v>
      </c>
      <c r="H62" s="107">
        <v>0.0</v>
      </c>
      <c r="I62" s="107">
        <v>0.0</v>
      </c>
      <c r="J62" s="107">
        <v>0.0</v>
      </c>
      <c r="K62" s="107">
        <v>0.0</v>
      </c>
      <c r="L62" s="107">
        <v>0.0</v>
      </c>
      <c r="M62" s="107">
        <f>'листопад'!C8</f>
        <v>27550</v>
      </c>
      <c r="N62" s="107">
        <v>0.0</v>
      </c>
      <c r="O62" s="109">
        <f t="shared" si="3"/>
        <v>27550</v>
      </c>
    </row>
    <row r="63" ht="14.25" customHeight="1">
      <c r="A63" s="90"/>
      <c r="B63" s="26" t="s">
        <v>334</v>
      </c>
      <c r="C63" s="107">
        <v>0.0</v>
      </c>
      <c r="D63" s="107">
        <v>0.0</v>
      </c>
      <c r="E63" s="107">
        <v>0.0</v>
      </c>
      <c r="F63" s="107">
        <v>0.0</v>
      </c>
      <c r="G63" s="107">
        <v>0.0</v>
      </c>
      <c r="H63" s="107">
        <v>0.0</v>
      </c>
      <c r="I63" s="107">
        <v>0.0</v>
      </c>
      <c r="J63" s="107">
        <v>0.0</v>
      </c>
      <c r="K63" s="107">
        <v>0.0</v>
      </c>
      <c r="L63" s="107">
        <v>0.0</v>
      </c>
      <c r="M63" s="107">
        <f>'листопад'!C30</f>
        <v>71012</v>
      </c>
      <c r="N63" s="107">
        <v>0.0</v>
      </c>
      <c r="O63" s="109">
        <f t="shared" si="3"/>
        <v>71012</v>
      </c>
    </row>
    <row r="64" ht="14.25" customHeight="1">
      <c r="A64" s="90"/>
      <c r="B64" s="26" t="s">
        <v>340</v>
      </c>
      <c r="C64" s="107">
        <v>0.0</v>
      </c>
      <c r="D64" s="107">
        <v>0.0</v>
      </c>
      <c r="E64" s="107">
        <v>0.0</v>
      </c>
      <c r="F64" s="107">
        <v>0.0</v>
      </c>
      <c r="G64" s="107">
        <v>0.0</v>
      </c>
      <c r="H64" s="107">
        <v>0.0</v>
      </c>
      <c r="I64" s="107">
        <v>0.0</v>
      </c>
      <c r="J64" s="107">
        <v>0.0</v>
      </c>
      <c r="K64" s="107">
        <v>0.0</v>
      </c>
      <c r="L64" s="107">
        <v>0.0</v>
      </c>
      <c r="M64" s="107">
        <f>'листопад'!C42</f>
        <v>104081.47</v>
      </c>
      <c r="N64" s="107">
        <v>0.0</v>
      </c>
      <c r="O64" s="109">
        <f t="shared" si="3"/>
        <v>104081.47</v>
      </c>
    </row>
    <row r="65" ht="14.25" customHeight="1">
      <c r="A65" s="90"/>
      <c r="B65" s="26" t="s">
        <v>350</v>
      </c>
      <c r="C65" s="107">
        <v>0.0</v>
      </c>
      <c r="D65" s="107">
        <v>0.0</v>
      </c>
      <c r="E65" s="107">
        <v>0.0</v>
      </c>
      <c r="F65" s="107">
        <v>0.0</v>
      </c>
      <c r="G65" s="107">
        <v>0.0</v>
      </c>
      <c r="H65" s="107">
        <v>0.0</v>
      </c>
      <c r="I65" s="107">
        <v>0.0</v>
      </c>
      <c r="J65" s="107">
        <v>0.0</v>
      </c>
      <c r="K65" s="107">
        <v>0.0</v>
      </c>
      <c r="L65" s="107">
        <v>0.0</v>
      </c>
      <c r="M65" s="107">
        <f>'листопад'!C51</f>
        <v>19920</v>
      </c>
      <c r="N65" s="107">
        <v>0.0</v>
      </c>
      <c r="O65" s="109">
        <f t="shared" si="3"/>
        <v>19920</v>
      </c>
    </row>
    <row r="66" ht="14.25" customHeight="1">
      <c r="A66" s="90"/>
      <c r="B66" s="26" t="s">
        <v>352</v>
      </c>
      <c r="C66" s="107">
        <v>0.0</v>
      </c>
      <c r="D66" s="107">
        <v>0.0</v>
      </c>
      <c r="E66" s="107">
        <v>0.0</v>
      </c>
      <c r="F66" s="107">
        <v>0.0</v>
      </c>
      <c r="G66" s="107">
        <v>0.0</v>
      </c>
      <c r="H66" s="107">
        <v>0.0</v>
      </c>
      <c r="I66" s="107">
        <v>0.0</v>
      </c>
      <c r="J66" s="107">
        <v>0.0</v>
      </c>
      <c r="K66" s="107">
        <v>0.0</v>
      </c>
      <c r="L66" s="107">
        <v>0.0</v>
      </c>
      <c r="M66" s="107">
        <f>'листопад'!C61</f>
        <v>200000</v>
      </c>
      <c r="N66" s="107">
        <v>0.0</v>
      </c>
      <c r="O66" s="109">
        <f t="shared" si="3"/>
        <v>200000</v>
      </c>
    </row>
    <row r="67" ht="14.25" customHeight="1">
      <c r="A67" s="101" t="s">
        <v>384</v>
      </c>
      <c r="B67" s="110" t="s">
        <v>385</v>
      </c>
      <c r="C67" s="103">
        <f>'січень'!$D41</f>
        <v>297196</v>
      </c>
      <c r="D67" s="103">
        <f>'лютий'!$D39</f>
        <v>211717.5</v>
      </c>
      <c r="E67" s="103">
        <f>'березень'!D44</f>
        <v>626768.26</v>
      </c>
      <c r="F67" s="103">
        <f>'квтень'!D45</f>
        <v>501683.34</v>
      </c>
      <c r="G67" s="103">
        <f>'травень'!D44</f>
        <v>506561.92</v>
      </c>
      <c r="H67" s="103">
        <f>'червень'!D96</f>
        <v>830850.87</v>
      </c>
      <c r="I67" s="104">
        <f>'липень'!D90</f>
        <v>186913.51</v>
      </c>
      <c r="J67" s="104">
        <f>'серпень'!D68</f>
        <v>448621.91</v>
      </c>
      <c r="K67" s="104">
        <f>'вересень'!D66</f>
        <v>712376.09</v>
      </c>
      <c r="L67" s="104">
        <f>'жовтень'!D66</f>
        <v>853363.06</v>
      </c>
      <c r="M67" s="104">
        <f>'листопад'!D66</f>
        <v>373840.43</v>
      </c>
      <c r="N67" s="104">
        <f>'грудень'!D66</f>
        <v>33998.05</v>
      </c>
      <c r="O67" s="105">
        <f t="shared" si="3"/>
        <v>5583890.94</v>
      </c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</row>
    <row r="68" ht="14.25" customHeight="1">
      <c r="A68" s="101" t="s">
        <v>386</v>
      </c>
      <c r="B68" s="110" t="s">
        <v>387</v>
      </c>
      <c r="C68" s="103">
        <f>'січень'!$E41</f>
        <v>330397.6</v>
      </c>
      <c r="D68" s="103">
        <f>'лютий'!$E39</f>
        <v>111352.1</v>
      </c>
      <c r="E68" s="103">
        <f>'березень'!E44</f>
        <v>139612.9</v>
      </c>
      <c r="F68" s="103">
        <f>'квтень'!E45</f>
        <v>112232.1</v>
      </c>
      <c r="G68" s="103">
        <f>'травень'!E44</f>
        <v>129503.52</v>
      </c>
      <c r="H68" s="103">
        <f>'червень'!E96</f>
        <v>101749.25</v>
      </c>
      <c r="I68" s="104">
        <f>'липень'!E90</f>
        <v>522373.65</v>
      </c>
      <c r="J68" s="104">
        <f>'серпень'!E68</f>
        <v>30165.92</v>
      </c>
      <c r="K68" s="104">
        <f>'вересень'!E66</f>
        <v>5521.2</v>
      </c>
      <c r="L68" s="104">
        <f>'жовтень'!E66</f>
        <v>4920</v>
      </c>
      <c r="M68" s="104">
        <f>'листопад'!E66</f>
        <v>5520</v>
      </c>
      <c r="N68" s="104">
        <f>'грудень'!E66</f>
        <v>660</v>
      </c>
      <c r="O68" s="105">
        <f t="shared" si="3"/>
        <v>1494008.24</v>
      </c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</row>
    <row r="69" ht="14.25" customHeight="1">
      <c r="A69" s="97" t="s">
        <v>388</v>
      </c>
      <c r="B69" s="112" t="s">
        <v>389</v>
      </c>
      <c r="C69" s="99">
        <f>'січень'!$G$41</f>
        <v>41.43</v>
      </c>
      <c r="D69" s="99">
        <f>'лютий'!$G$39</f>
        <v>18.41</v>
      </c>
      <c r="E69" s="99">
        <f>'березень'!G44</f>
        <v>20.38</v>
      </c>
      <c r="F69" s="99">
        <f>'квтень'!G45</f>
        <v>19.73</v>
      </c>
      <c r="G69" s="99">
        <f>'травень'!G44</f>
        <v>20.38</v>
      </c>
      <c r="H69" s="99">
        <f>'червень'!G96</f>
        <v>34.73</v>
      </c>
      <c r="I69" s="113">
        <f>'липень'!G90</f>
        <v>20.38</v>
      </c>
      <c r="J69" s="114">
        <v>20.38</v>
      </c>
      <c r="K69" s="113">
        <f>'вересень'!G66</f>
        <v>706917.4</v>
      </c>
      <c r="L69" s="113">
        <f>'жовтень'!G66</f>
        <v>20.39</v>
      </c>
      <c r="M69" s="113">
        <f>'листопад'!G66</f>
        <v>19.72</v>
      </c>
      <c r="N69" s="113">
        <f>'грудень'!G66</f>
        <v>0</v>
      </c>
      <c r="O69" s="100">
        <f t="shared" si="3"/>
        <v>707153.33</v>
      </c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</row>
    <row r="70" ht="14.25" customHeight="1">
      <c r="A70" s="90"/>
      <c r="B70" s="16"/>
      <c r="C70" s="106"/>
      <c r="D70" s="106"/>
      <c r="E70" s="106"/>
      <c r="F70" s="106"/>
      <c r="G70" s="106"/>
      <c r="H70" s="106"/>
      <c r="I70" s="115"/>
      <c r="J70" s="115"/>
      <c r="K70" s="115"/>
      <c r="L70" s="115"/>
      <c r="M70" s="115"/>
      <c r="N70" s="115"/>
      <c r="O70" s="115"/>
    </row>
    <row r="71" ht="14.25" customHeight="1">
      <c r="A71" s="93" t="s">
        <v>390</v>
      </c>
      <c r="B71" s="94" t="s">
        <v>391</v>
      </c>
      <c r="C71" s="95">
        <f t="shared" ref="C71:O71" si="4">C72+C100</f>
        <v>5477468.54</v>
      </c>
      <c r="D71" s="95">
        <f t="shared" si="4"/>
        <v>1845921.39</v>
      </c>
      <c r="E71" s="95">
        <f t="shared" si="4"/>
        <v>8511927.55</v>
      </c>
      <c r="F71" s="95">
        <f t="shared" si="4"/>
        <v>3345478.36</v>
      </c>
      <c r="G71" s="95">
        <f t="shared" si="4"/>
        <v>2700173.96</v>
      </c>
      <c r="H71" s="95">
        <f t="shared" si="4"/>
        <v>16815425.14</v>
      </c>
      <c r="I71" s="116">
        <f t="shared" si="4"/>
        <v>18017702.65</v>
      </c>
      <c r="J71" s="116">
        <f t="shared" si="4"/>
        <v>15469582.26</v>
      </c>
      <c r="K71" s="116">
        <f t="shared" si="4"/>
        <v>1641956.33</v>
      </c>
      <c r="L71" s="116">
        <f t="shared" si="4"/>
        <v>5374035.11</v>
      </c>
      <c r="M71" s="116">
        <f t="shared" si="4"/>
        <v>48015515.46</v>
      </c>
      <c r="N71" s="116">
        <f t="shared" si="4"/>
        <v>67539</v>
      </c>
      <c r="O71" s="96">
        <f t="shared" si="4"/>
        <v>127282725.8</v>
      </c>
    </row>
    <row r="72" ht="14.25" customHeight="1">
      <c r="A72" s="97" t="s">
        <v>392</v>
      </c>
      <c r="B72" s="98" t="s">
        <v>393</v>
      </c>
      <c r="C72" s="99">
        <f t="shared" ref="C72:N72" si="5">SUM(C73:C99)</f>
        <v>5255674.25</v>
      </c>
      <c r="D72" s="99">
        <f t="shared" si="5"/>
        <v>1537708.42</v>
      </c>
      <c r="E72" s="99">
        <f t="shared" si="5"/>
        <v>7862907.2</v>
      </c>
      <c r="F72" s="99">
        <f t="shared" si="5"/>
        <v>2731476.62</v>
      </c>
      <c r="G72" s="99">
        <f t="shared" si="5"/>
        <v>2054588.29</v>
      </c>
      <c r="H72" s="99">
        <f t="shared" si="5"/>
        <v>16121518.28</v>
      </c>
      <c r="I72" s="113">
        <f t="shared" si="5"/>
        <v>17269021.69</v>
      </c>
      <c r="J72" s="113">
        <f t="shared" si="5"/>
        <v>14824897.81</v>
      </c>
      <c r="K72" s="113">
        <f t="shared" si="5"/>
        <v>464352.84</v>
      </c>
      <c r="L72" s="113">
        <f t="shared" si="5"/>
        <v>4157289.88</v>
      </c>
      <c r="M72" s="113">
        <f t="shared" si="5"/>
        <v>46335096.47</v>
      </c>
      <c r="N72" s="113">
        <f t="shared" si="5"/>
        <v>0</v>
      </c>
      <c r="O72" s="100">
        <f t="shared" ref="O72:O100" si="6">SUBTOTAL(9,C72:N72)</f>
        <v>118614531.8</v>
      </c>
    </row>
    <row r="73" ht="14.25" customHeight="1">
      <c r="A73" s="90"/>
      <c r="B73" s="117" t="s">
        <v>10</v>
      </c>
      <c r="C73" s="118">
        <f>'січень'!$H$41</f>
        <v>0</v>
      </c>
      <c r="D73" s="118">
        <f>'лютий'!$H$39</f>
        <v>0</v>
      </c>
      <c r="E73" s="119">
        <v>0.0</v>
      </c>
      <c r="F73" s="119">
        <v>0.0</v>
      </c>
      <c r="G73" s="119">
        <v>0.0</v>
      </c>
      <c r="H73" s="119">
        <v>0.0</v>
      </c>
      <c r="I73" s="120">
        <v>0.0</v>
      </c>
      <c r="J73" s="120">
        <v>0.0</v>
      </c>
      <c r="K73" s="120">
        <v>0.0</v>
      </c>
      <c r="L73" s="120">
        <v>0.0</v>
      </c>
      <c r="M73" s="120">
        <v>0.0</v>
      </c>
      <c r="N73" s="120">
        <v>0.0</v>
      </c>
      <c r="O73" s="109">
        <f t="shared" si="6"/>
        <v>0</v>
      </c>
    </row>
    <row r="74" ht="14.25" customHeight="1">
      <c r="A74" s="90"/>
      <c r="B74" s="117" t="s">
        <v>11</v>
      </c>
      <c r="C74" s="118">
        <f>'січень'!$I$41</f>
        <v>0</v>
      </c>
      <c r="D74" s="118">
        <f>'лютий'!$I$39</f>
        <v>0</v>
      </c>
      <c r="E74" s="119">
        <v>0.0</v>
      </c>
      <c r="F74" s="119">
        <v>0.0</v>
      </c>
      <c r="G74" s="119">
        <f>'травень'!I44</f>
        <v>250026</v>
      </c>
      <c r="H74" s="119">
        <f>'червень'!I96</f>
        <v>4500</v>
      </c>
      <c r="I74" s="120">
        <f>'липень'!I90</f>
        <v>349440</v>
      </c>
      <c r="J74" s="120">
        <f>'серпень'!I68</f>
        <v>259090</v>
      </c>
      <c r="K74" s="120">
        <f>'вересень'!I66</f>
        <v>0</v>
      </c>
      <c r="L74" s="120">
        <f>'жовтень'!I66</f>
        <v>69695</v>
      </c>
      <c r="M74" s="120">
        <f>'листопад'!I66</f>
        <v>55053.41</v>
      </c>
      <c r="N74" s="120">
        <v>0.0</v>
      </c>
      <c r="O74" s="109">
        <f t="shared" si="6"/>
        <v>987804.41</v>
      </c>
    </row>
    <row r="75" ht="14.25" customHeight="1">
      <c r="A75" s="90"/>
      <c r="B75" s="117" t="s">
        <v>394</v>
      </c>
      <c r="C75" s="118">
        <f>'січень'!$J$41</f>
        <v>0</v>
      </c>
      <c r="D75" s="118">
        <f>'лютий'!$J$39</f>
        <v>0</v>
      </c>
      <c r="E75" s="119">
        <v>0.0</v>
      </c>
      <c r="F75" s="119">
        <v>0.0</v>
      </c>
      <c r="G75" s="119">
        <f>'травень'!Q44</f>
        <v>80000</v>
      </c>
      <c r="H75" s="119">
        <f>'червень'!Q96</f>
        <v>157304</v>
      </c>
      <c r="I75" s="120">
        <v>0.0</v>
      </c>
      <c r="J75" s="120">
        <v>0.0</v>
      </c>
      <c r="K75" s="120">
        <v>0.0</v>
      </c>
      <c r="L75" s="120">
        <v>0.0</v>
      </c>
      <c r="M75" s="120">
        <v>0.0</v>
      </c>
      <c r="N75" s="120">
        <v>0.0</v>
      </c>
      <c r="O75" s="109">
        <f t="shared" si="6"/>
        <v>237304</v>
      </c>
    </row>
    <row r="76" ht="14.25" customHeight="1">
      <c r="A76" s="90"/>
      <c r="B76" s="117" t="s">
        <v>395</v>
      </c>
      <c r="C76" s="118">
        <v>0.0</v>
      </c>
      <c r="D76" s="118">
        <v>0.0</v>
      </c>
      <c r="E76" s="118">
        <v>0.0</v>
      </c>
      <c r="F76" s="119">
        <v>0.0</v>
      </c>
      <c r="G76" s="119">
        <v>0.0</v>
      </c>
      <c r="H76" s="119">
        <v>0.0</v>
      </c>
      <c r="I76" s="120">
        <v>0.0</v>
      </c>
      <c r="J76" s="120">
        <v>0.0</v>
      </c>
      <c r="K76" s="120">
        <v>0.0</v>
      </c>
      <c r="L76" s="120">
        <v>0.0</v>
      </c>
      <c r="M76" s="120">
        <v>0.0</v>
      </c>
      <c r="N76" s="120">
        <v>0.0</v>
      </c>
      <c r="O76" s="109">
        <f t="shared" si="6"/>
        <v>0</v>
      </c>
    </row>
    <row r="77" ht="14.25" customHeight="1">
      <c r="A77" s="90"/>
      <c r="B77" s="117" t="s">
        <v>13</v>
      </c>
      <c r="C77" s="118">
        <f>'січень'!$K$41</f>
        <v>0</v>
      </c>
      <c r="D77" s="118">
        <f>'лютий'!$K$39</f>
        <v>0</v>
      </c>
      <c r="E77" s="119">
        <v>0.0</v>
      </c>
      <c r="F77" s="119">
        <v>0.0</v>
      </c>
      <c r="G77" s="119">
        <v>0.0</v>
      </c>
      <c r="H77" s="119">
        <v>0.0</v>
      </c>
      <c r="I77" s="120">
        <v>0.0</v>
      </c>
      <c r="J77" s="120">
        <v>0.0</v>
      </c>
      <c r="K77" s="120">
        <v>0.0</v>
      </c>
      <c r="L77" s="120">
        <v>0.0</v>
      </c>
      <c r="M77" s="120">
        <v>0.0</v>
      </c>
      <c r="N77" s="120">
        <v>0.0</v>
      </c>
      <c r="O77" s="109">
        <f t="shared" si="6"/>
        <v>0</v>
      </c>
    </row>
    <row r="78" ht="14.25" customHeight="1">
      <c r="A78" s="90"/>
      <c r="B78" s="117" t="s">
        <v>14</v>
      </c>
      <c r="C78" s="118">
        <f>'січень'!$L$41</f>
        <v>2138776.95</v>
      </c>
      <c r="D78" s="118">
        <f>'лютий'!$L$39</f>
        <v>13592</v>
      </c>
      <c r="E78" s="119">
        <f>'березень'!L44</f>
        <v>6245444.95</v>
      </c>
      <c r="F78" s="119">
        <v>0.0</v>
      </c>
      <c r="G78" s="119">
        <v>0.0</v>
      </c>
      <c r="H78" s="119">
        <v>0.0</v>
      </c>
      <c r="I78" s="120">
        <v>0.0</v>
      </c>
      <c r="J78" s="120">
        <v>0.0</v>
      </c>
      <c r="K78" s="120">
        <v>0.0</v>
      </c>
      <c r="L78" s="120">
        <f>'жовтень'!L66</f>
        <v>40705</v>
      </c>
      <c r="M78" s="120">
        <f>'листопад'!L66</f>
        <v>1000000</v>
      </c>
      <c r="N78" s="120">
        <v>0.0</v>
      </c>
      <c r="O78" s="109">
        <f t="shared" si="6"/>
        <v>9438518.9</v>
      </c>
    </row>
    <row r="79" ht="14.25" customHeight="1">
      <c r="A79" s="90"/>
      <c r="B79" s="117" t="s">
        <v>15</v>
      </c>
      <c r="C79" s="118">
        <f>'січень'!$M$41</f>
        <v>2113133</v>
      </c>
      <c r="D79" s="118">
        <f>'лютий'!$M$39</f>
        <v>847506.68</v>
      </c>
      <c r="E79" s="119">
        <f>'березень'!M44</f>
        <v>318209.72</v>
      </c>
      <c r="F79" s="119">
        <f>'квтень'!M45</f>
        <v>1891833.74</v>
      </c>
      <c r="G79" s="119">
        <f>'травень'!M44</f>
        <v>330524.86</v>
      </c>
      <c r="H79" s="119">
        <f>'червень'!M96</f>
        <v>2059103.42</v>
      </c>
      <c r="I79" s="120">
        <f>'липень'!M90</f>
        <v>819465.16</v>
      </c>
      <c r="J79" s="120">
        <f>'серпень'!M68</f>
        <v>3990103.29</v>
      </c>
      <c r="K79" s="120">
        <f>'вересень'!M66</f>
        <v>0</v>
      </c>
      <c r="L79" s="120">
        <f>'жовтень'!M66</f>
        <v>677002.82</v>
      </c>
      <c r="M79" s="120">
        <f>'листопад'!M66</f>
        <v>184878</v>
      </c>
      <c r="N79" s="120">
        <v>0.0</v>
      </c>
      <c r="O79" s="109">
        <f t="shared" si="6"/>
        <v>13231760.69</v>
      </c>
    </row>
    <row r="80" ht="14.25" customHeight="1">
      <c r="A80" s="90"/>
      <c r="B80" s="117" t="s">
        <v>16</v>
      </c>
      <c r="C80" s="118">
        <f>'січень'!$N$41</f>
        <v>0</v>
      </c>
      <c r="D80" s="118">
        <f>'лютий'!$N$39</f>
        <v>25127.74</v>
      </c>
      <c r="E80" s="119">
        <f>'березень'!N44</f>
        <v>136519.53</v>
      </c>
      <c r="F80" s="119">
        <f>'квтень'!N45</f>
        <v>280</v>
      </c>
      <c r="G80" s="119">
        <v>0.0</v>
      </c>
      <c r="H80" s="119">
        <v>0.0</v>
      </c>
      <c r="I80" s="120">
        <v>0.0</v>
      </c>
      <c r="J80" s="120">
        <v>0.0</v>
      </c>
      <c r="K80" s="120">
        <v>0.0</v>
      </c>
      <c r="L80" s="120">
        <v>0.0</v>
      </c>
      <c r="M80" s="120">
        <f>'листопад'!N66</f>
        <v>9544.01</v>
      </c>
      <c r="N80" s="120">
        <v>0.0</v>
      </c>
      <c r="O80" s="109">
        <f t="shared" si="6"/>
        <v>171471.28</v>
      </c>
    </row>
    <row r="81" ht="14.25" customHeight="1">
      <c r="A81" s="90"/>
      <c r="B81" s="20" t="s">
        <v>396</v>
      </c>
      <c r="C81" s="119">
        <v>0.0</v>
      </c>
      <c r="D81" s="119">
        <v>0.0</v>
      </c>
      <c r="E81" s="119">
        <v>0.0</v>
      </c>
      <c r="F81" s="119">
        <v>0.0</v>
      </c>
      <c r="G81" s="119">
        <v>0.0</v>
      </c>
      <c r="H81" s="119">
        <v>0.0</v>
      </c>
      <c r="I81" s="120">
        <v>0.0</v>
      </c>
      <c r="J81" s="120">
        <v>0.0</v>
      </c>
      <c r="K81" s="120">
        <v>0.0</v>
      </c>
      <c r="L81" s="120">
        <v>0.0</v>
      </c>
      <c r="M81" s="120">
        <v>0.0</v>
      </c>
      <c r="N81" s="120">
        <v>0.0</v>
      </c>
      <c r="O81" s="109">
        <f t="shared" si="6"/>
        <v>0</v>
      </c>
    </row>
    <row r="82" ht="14.25" customHeight="1">
      <c r="A82" s="90"/>
      <c r="B82" s="20" t="s">
        <v>18</v>
      </c>
      <c r="C82" s="118">
        <f>'січень'!$P$41</f>
        <v>0</v>
      </c>
      <c r="D82" s="118">
        <f>'лютий'!$P$39</f>
        <v>0</v>
      </c>
      <c r="E82" s="119">
        <v>0.0</v>
      </c>
      <c r="F82" s="119">
        <v>0.0</v>
      </c>
      <c r="G82" s="119">
        <f>'травень'!U44</f>
        <v>50160</v>
      </c>
      <c r="H82" s="119">
        <f>'червень'!O96</f>
        <v>1167529</v>
      </c>
      <c r="I82" s="120">
        <f>'липень'!O90</f>
        <v>1406977</v>
      </c>
      <c r="J82" s="120">
        <f>'серпень'!O68</f>
        <v>1952990</v>
      </c>
      <c r="K82" s="120">
        <v>0.0</v>
      </c>
      <c r="L82" s="120">
        <v>0.0</v>
      </c>
      <c r="M82" s="120">
        <v>0.0</v>
      </c>
      <c r="N82" s="120">
        <v>0.0</v>
      </c>
      <c r="O82" s="109">
        <f t="shared" si="6"/>
        <v>4577656</v>
      </c>
    </row>
    <row r="83" ht="14.25" customHeight="1">
      <c r="A83" s="90"/>
      <c r="B83" s="121" t="s">
        <v>137</v>
      </c>
      <c r="C83" s="118">
        <f>'січень'!$Q$41</f>
        <v>0</v>
      </c>
      <c r="D83" s="118">
        <f>'лютий'!$Q$39</f>
        <v>0</v>
      </c>
      <c r="E83" s="119">
        <v>0.0</v>
      </c>
      <c r="F83" s="119">
        <f>'квтень'!H45</f>
        <v>828440</v>
      </c>
      <c r="G83" s="119">
        <f>'травень'!H44</f>
        <v>813765.05</v>
      </c>
      <c r="H83" s="119">
        <f>'червень'!H96</f>
        <v>11752347.86</v>
      </c>
      <c r="I83" s="120">
        <f>'липень'!H90</f>
        <v>2926831.49</v>
      </c>
      <c r="J83" s="120">
        <f>'серпень'!H68</f>
        <v>7688138.21</v>
      </c>
      <c r="K83" s="120">
        <f>'вересень'!H66</f>
        <v>393503</v>
      </c>
      <c r="L83" s="120">
        <f>'жовтень'!H66</f>
        <v>2313497.5</v>
      </c>
      <c r="M83" s="120">
        <f>'листопад'!H66</f>
        <v>43846668</v>
      </c>
      <c r="N83" s="120">
        <v>0.0</v>
      </c>
      <c r="O83" s="109">
        <f t="shared" si="6"/>
        <v>70563191.11</v>
      </c>
    </row>
    <row r="84" ht="14.25" customHeight="1">
      <c r="A84" s="90"/>
      <c r="B84" s="20" t="s">
        <v>397</v>
      </c>
      <c r="C84" s="118">
        <f>'січень'!$R$41</f>
        <v>0</v>
      </c>
      <c r="D84" s="118">
        <f>'лютий'!$R$39</f>
        <v>0</v>
      </c>
      <c r="E84" s="119">
        <v>0.0</v>
      </c>
      <c r="F84" s="119">
        <v>0.0</v>
      </c>
      <c r="G84" s="119">
        <v>0.0</v>
      </c>
      <c r="H84" s="119">
        <v>0.0</v>
      </c>
      <c r="I84" s="120">
        <v>0.0</v>
      </c>
      <c r="J84" s="120">
        <v>0.0</v>
      </c>
      <c r="K84" s="120">
        <v>0.0</v>
      </c>
      <c r="L84" s="120">
        <v>0.0</v>
      </c>
      <c r="M84" s="120">
        <v>0.0</v>
      </c>
      <c r="N84" s="120">
        <v>0.0</v>
      </c>
      <c r="O84" s="109">
        <f t="shared" si="6"/>
        <v>0</v>
      </c>
    </row>
    <row r="85" ht="14.25" customHeight="1">
      <c r="A85" s="90"/>
      <c r="B85" s="20" t="s">
        <v>21</v>
      </c>
      <c r="C85" s="118">
        <f>'січень'!$S$41</f>
        <v>0</v>
      </c>
      <c r="D85" s="118">
        <f>'лютий'!$S$39</f>
        <v>0</v>
      </c>
      <c r="E85" s="119">
        <v>0.0</v>
      </c>
      <c r="F85" s="119">
        <v>0.0</v>
      </c>
      <c r="G85" s="119">
        <v>0.0</v>
      </c>
      <c r="H85" s="119">
        <v>0.0</v>
      </c>
      <c r="I85" s="120">
        <v>0.0</v>
      </c>
      <c r="J85" s="120">
        <v>0.0</v>
      </c>
      <c r="K85" s="120">
        <v>0.0</v>
      </c>
      <c r="L85" s="120">
        <v>0.0</v>
      </c>
      <c r="M85" s="120">
        <v>0.0</v>
      </c>
      <c r="N85" s="120">
        <v>0.0</v>
      </c>
      <c r="O85" s="109">
        <f t="shared" si="6"/>
        <v>0</v>
      </c>
    </row>
    <row r="86" ht="14.25" customHeight="1">
      <c r="A86" s="90"/>
      <c r="B86" s="121" t="s">
        <v>398</v>
      </c>
      <c r="C86" s="118">
        <f>'січень'!$T$41</f>
        <v>0</v>
      </c>
      <c r="D86" s="118">
        <f>'лютий'!$T$39</f>
        <v>0</v>
      </c>
      <c r="E86" s="119">
        <v>0.0</v>
      </c>
      <c r="F86" s="119">
        <v>0.0</v>
      </c>
      <c r="G86" s="119">
        <f>'травень'!O44</f>
        <v>38416</v>
      </c>
      <c r="H86" s="119">
        <v>0.0</v>
      </c>
      <c r="I86" s="120">
        <v>0.0</v>
      </c>
      <c r="J86" s="120">
        <v>0.0</v>
      </c>
      <c r="K86" s="120">
        <v>0.0</v>
      </c>
      <c r="L86" s="120">
        <v>0.0</v>
      </c>
      <c r="M86" s="120">
        <v>0.0</v>
      </c>
      <c r="N86" s="120">
        <v>0.0</v>
      </c>
      <c r="O86" s="109">
        <f t="shared" si="6"/>
        <v>38416</v>
      </c>
    </row>
    <row r="87" ht="14.25" customHeight="1">
      <c r="A87" s="90"/>
      <c r="B87" s="121" t="s">
        <v>212</v>
      </c>
      <c r="C87" s="118">
        <f>'січень'!$U$41</f>
        <v>0</v>
      </c>
      <c r="D87" s="118">
        <f>'лютий'!$U$39</f>
        <v>0</v>
      </c>
      <c r="E87" s="119">
        <v>0.0</v>
      </c>
      <c r="F87" s="119">
        <v>0.0</v>
      </c>
      <c r="G87" s="119">
        <v>0.0</v>
      </c>
      <c r="H87" s="119">
        <v>0.0</v>
      </c>
      <c r="I87" s="120">
        <f>'липень'!R90</f>
        <v>207513.5</v>
      </c>
      <c r="J87" s="120">
        <f>'серпень'!R68</f>
        <v>371444.97</v>
      </c>
      <c r="K87" s="120">
        <f>'вересень'!R66</f>
        <v>70849.84</v>
      </c>
      <c r="L87" s="120">
        <f>'жовтень'!Q66</f>
        <v>222125.76</v>
      </c>
      <c r="M87" s="120">
        <f>'листопад'!R66</f>
        <v>280011.91</v>
      </c>
      <c r="N87" s="120">
        <v>0.0</v>
      </c>
      <c r="O87" s="109">
        <f t="shared" si="6"/>
        <v>1151945.98</v>
      </c>
    </row>
    <row r="88" ht="14.25" customHeight="1">
      <c r="A88" s="90"/>
      <c r="B88" s="121" t="s">
        <v>266</v>
      </c>
      <c r="C88" s="118">
        <v>0.0</v>
      </c>
      <c r="D88" s="118">
        <v>0.0</v>
      </c>
      <c r="E88" s="118">
        <v>0.0</v>
      </c>
      <c r="F88" s="118">
        <f>'квтень'!P45</f>
        <v>10922.88</v>
      </c>
      <c r="G88" s="118">
        <v>0.0</v>
      </c>
      <c r="H88" s="119">
        <v>0.0</v>
      </c>
      <c r="I88" s="120">
        <v>0.0</v>
      </c>
      <c r="J88" s="120">
        <v>0.0</v>
      </c>
      <c r="K88" s="120">
        <f>'вересень'!O66</f>
        <v>0</v>
      </c>
      <c r="L88" s="120">
        <v>0.0</v>
      </c>
      <c r="M88" s="120">
        <v>0.0</v>
      </c>
      <c r="N88" s="120">
        <v>0.0</v>
      </c>
      <c r="O88" s="109">
        <f t="shared" si="6"/>
        <v>10922.88</v>
      </c>
    </row>
    <row r="89" ht="14.25" customHeight="1">
      <c r="A89" s="90"/>
      <c r="B89" s="20" t="s">
        <v>140</v>
      </c>
      <c r="C89" s="118">
        <v>0.0</v>
      </c>
      <c r="D89" s="118">
        <v>0.0</v>
      </c>
      <c r="E89" s="118">
        <v>0.0</v>
      </c>
      <c r="F89" s="118">
        <v>0.0</v>
      </c>
      <c r="G89" s="118">
        <f>'травень'!R44</f>
        <v>182300</v>
      </c>
      <c r="H89" s="119">
        <v>0.0</v>
      </c>
      <c r="I89" s="120">
        <v>0.0</v>
      </c>
      <c r="J89" s="120">
        <v>0.0</v>
      </c>
      <c r="K89" s="120">
        <v>0.0</v>
      </c>
      <c r="L89" s="120">
        <v>0.0</v>
      </c>
      <c r="M89" s="120">
        <v>0.0</v>
      </c>
      <c r="N89" s="120">
        <v>0.0</v>
      </c>
      <c r="O89" s="109">
        <f t="shared" si="6"/>
        <v>182300</v>
      </c>
    </row>
    <row r="90" ht="14.25" customHeight="1">
      <c r="A90" s="90"/>
      <c r="B90" s="121" t="s">
        <v>399</v>
      </c>
      <c r="C90" s="118">
        <v>0.0</v>
      </c>
      <c r="D90" s="118">
        <v>0.0</v>
      </c>
      <c r="E90" s="118">
        <f>'березень'!Q44</f>
        <v>75000</v>
      </c>
      <c r="F90" s="118">
        <v>0.0</v>
      </c>
      <c r="G90" s="118">
        <v>0.0</v>
      </c>
      <c r="H90" s="119">
        <v>0.0</v>
      </c>
      <c r="I90" s="122">
        <v>0.0</v>
      </c>
      <c r="J90" s="122">
        <v>0.0</v>
      </c>
      <c r="K90" s="122">
        <v>0.0</v>
      </c>
      <c r="L90" s="122">
        <v>0.0</v>
      </c>
      <c r="M90" s="122">
        <v>0.0</v>
      </c>
      <c r="N90" s="122">
        <v>0.0</v>
      </c>
      <c r="O90" s="109">
        <f t="shared" si="6"/>
        <v>75000</v>
      </c>
    </row>
    <row r="91" ht="14.25" customHeight="1">
      <c r="A91" s="90"/>
      <c r="B91" s="123" t="s">
        <v>210</v>
      </c>
      <c r="C91" s="118">
        <v>0.0</v>
      </c>
      <c r="D91" s="118">
        <v>0.0</v>
      </c>
      <c r="E91" s="118">
        <v>0.0</v>
      </c>
      <c r="F91" s="118">
        <v>0.0</v>
      </c>
      <c r="G91" s="118">
        <v>0.0</v>
      </c>
      <c r="H91" s="118">
        <v>0.0</v>
      </c>
      <c r="I91" s="120">
        <f>'липень'!J90</f>
        <v>6385000.44</v>
      </c>
      <c r="J91" s="120">
        <v>0.0</v>
      </c>
      <c r="K91" s="120">
        <v>0.0</v>
      </c>
      <c r="L91" s="120">
        <f>'жовтень'!J66</f>
        <v>5730</v>
      </c>
      <c r="M91" s="120">
        <v>0.0</v>
      </c>
      <c r="N91" s="120">
        <v>0.0</v>
      </c>
      <c r="O91" s="109">
        <f t="shared" si="6"/>
        <v>6390730.44</v>
      </c>
    </row>
    <row r="92" ht="14.25" customHeight="1">
      <c r="A92" s="90"/>
      <c r="B92" s="20" t="s">
        <v>400</v>
      </c>
      <c r="C92" s="118">
        <v>0.0</v>
      </c>
      <c r="D92" s="118">
        <v>0.0</v>
      </c>
      <c r="E92" s="118">
        <v>0.0</v>
      </c>
      <c r="F92" s="118">
        <v>0.0</v>
      </c>
      <c r="G92" s="118">
        <v>0.0</v>
      </c>
      <c r="H92" s="118">
        <v>0.0</v>
      </c>
      <c r="I92" s="120">
        <v>0.0</v>
      </c>
      <c r="J92" s="120">
        <v>0.0</v>
      </c>
      <c r="K92" s="120">
        <v>0.0</v>
      </c>
      <c r="L92" s="120">
        <v>0.0</v>
      </c>
      <c r="M92" s="120">
        <v>0.0</v>
      </c>
      <c r="N92" s="120">
        <v>0.0</v>
      </c>
      <c r="O92" s="109">
        <f t="shared" si="6"/>
        <v>0</v>
      </c>
    </row>
    <row r="93" ht="14.25" customHeight="1">
      <c r="A93" s="90"/>
      <c r="B93" s="20" t="s">
        <v>17</v>
      </c>
      <c r="C93" s="118">
        <f>'січень'!O41</f>
        <v>1003764.3</v>
      </c>
      <c r="D93" s="118">
        <f>'лютий'!O39</f>
        <v>651482</v>
      </c>
      <c r="E93" s="118">
        <v>0.0</v>
      </c>
      <c r="F93" s="118">
        <v>0.0</v>
      </c>
      <c r="G93" s="118">
        <v>0.0</v>
      </c>
      <c r="H93" s="118">
        <v>0.0</v>
      </c>
      <c r="I93" s="122">
        <v>0.0</v>
      </c>
      <c r="J93" s="122">
        <v>0.0</v>
      </c>
      <c r="K93" s="120">
        <v>0.0</v>
      </c>
      <c r="L93" s="120">
        <v>0.0</v>
      </c>
      <c r="M93" s="120">
        <f>'листопад'!P66</f>
        <v>77806</v>
      </c>
      <c r="N93" s="120">
        <v>0.0</v>
      </c>
      <c r="O93" s="109">
        <f t="shared" si="6"/>
        <v>1733052.3</v>
      </c>
    </row>
    <row r="94" ht="14.25" customHeight="1">
      <c r="A94" s="90"/>
      <c r="B94" s="123" t="s">
        <v>142</v>
      </c>
      <c r="C94" s="118">
        <v>0.0</v>
      </c>
      <c r="D94" s="118">
        <v>0.0</v>
      </c>
      <c r="E94" s="118">
        <v>0.0</v>
      </c>
      <c r="F94" s="118">
        <v>0.0</v>
      </c>
      <c r="G94" s="118">
        <f>'травень'!T44</f>
        <v>53945.38</v>
      </c>
      <c r="H94" s="118">
        <f>'червень'!T96</f>
        <v>416230</v>
      </c>
      <c r="I94" s="122">
        <v>0.0</v>
      </c>
      <c r="J94" s="122">
        <v>0.0</v>
      </c>
      <c r="K94" s="120">
        <v>0.0</v>
      </c>
      <c r="L94" s="120">
        <v>0.0</v>
      </c>
      <c r="M94" s="120">
        <v>0.0</v>
      </c>
      <c r="N94" s="120">
        <v>0.0</v>
      </c>
      <c r="O94" s="109">
        <f t="shared" si="6"/>
        <v>470175.38</v>
      </c>
    </row>
    <row r="95" ht="14.25" customHeight="1">
      <c r="A95" s="90"/>
      <c r="B95" s="20" t="s">
        <v>401</v>
      </c>
      <c r="C95" s="118">
        <v>0.0</v>
      </c>
      <c r="D95" s="118">
        <v>0.0</v>
      </c>
      <c r="E95" s="118">
        <f>'березень'!R44</f>
        <v>1087733</v>
      </c>
      <c r="F95" s="118">
        <v>0.0</v>
      </c>
      <c r="G95" s="118">
        <v>0.0</v>
      </c>
      <c r="H95" s="118">
        <f>'червень'!R96</f>
        <v>564504</v>
      </c>
      <c r="I95" s="122">
        <v>0.0</v>
      </c>
      <c r="J95" s="122">
        <v>0.0</v>
      </c>
      <c r="K95" s="122">
        <v>0.0</v>
      </c>
      <c r="L95" s="120">
        <v>0.0</v>
      </c>
      <c r="M95" s="120">
        <v>0.0</v>
      </c>
      <c r="N95" s="120">
        <v>0.0</v>
      </c>
      <c r="O95" s="109">
        <f t="shared" si="6"/>
        <v>1652237</v>
      </c>
    </row>
    <row r="96" ht="14.25" customHeight="1">
      <c r="A96" s="90"/>
      <c r="B96" s="123" t="s">
        <v>211</v>
      </c>
      <c r="C96" s="118">
        <v>0.0</v>
      </c>
      <c r="D96" s="118">
        <v>0.0</v>
      </c>
      <c r="E96" s="118">
        <v>0.0</v>
      </c>
      <c r="F96" s="118">
        <v>0.0</v>
      </c>
      <c r="G96" s="118">
        <v>0.0</v>
      </c>
      <c r="H96" s="118">
        <v>0.0</v>
      </c>
      <c r="I96" s="122">
        <f>'липень'!K90</f>
        <v>4744957.26</v>
      </c>
      <c r="J96" s="122">
        <f>'серпень'!K68</f>
        <v>563131.34</v>
      </c>
      <c r="K96" s="122">
        <f>'вересень'!K66</f>
        <v>0</v>
      </c>
      <c r="L96" s="122">
        <f>'жовтень'!K66</f>
        <v>828533.8</v>
      </c>
      <c r="M96" s="122">
        <f>'листопад'!K66</f>
        <v>776135.14</v>
      </c>
      <c r="N96" s="122">
        <v>0.0</v>
      </c>
      <c r="O96" s="109">
        <f t="shared" si="6"/>
        <v>6912757.54</v>
      </c>
    </row>
    <row r="97" ht="14.25" customHeight="1">
      <c r="A97" s="90"/>
      <c r="B97" s="20" t="s">
        <v>402</v>
      </c>
      <c r="C97" s="118">
        <v>0.0</v>
      </c>
      <c r="D97" s="118">
        <v>0.0</v>
      </c>
      <c r="E97" s="118">
        <v>0.0</v>
      </c>
      <c r="F97" s="118">
        <v>0.0</v>
      </c>
      <c r="G97" s="118">
        <f>'травень'!S44</f>
        <v>255451</v>
      </c>
      <c r="H97" s="118">
        <v>0.0</v>
      </c>
      <c r="I97" s="122">
        <f>'липень'!S90</f>
        <v>428836.84</v>
      </c>
      <c r="J97" s="122">
        <v>0.0</v>
      </c>
      <c r="K97" s="122">
        <f>'вересень'!S66</f>
        <v>0</v>
      </c>
      <c r="L97" s="122">
        <v>0.0</v>
      </c>
      <c r="M97" s="122">
        <f>'листопад'!S66</f>
        <v>105000</v>
      </c>
      <c r="N97" s="122">
        <v>0.0</v>
      </c>
      <c r="O97" s="109">
        <f t="shared" si="6"/>
        <v>789287.84</v>
      </c>
    </row>
    <row r="98" ht="14.25" customHeight="1">
      <c r="A98" s="90"/>
      <c r="B98" s="20" t="s">
        <v>403</v>
      </c>
      <c r="C98" s="118">
        <v>0.0</v>
      </c>
      <c r="D98" s="118">
        <v>0.0</v>
      </c>
      <c r="E98" s="118">
        <v>0.0</v>
      </c>
      <c r="F98" s="118">
        <v>0.0</v>
      </c>
      <c r="G98" s="118">
        <v>0.0</v>
      </c>
      <c r="H98" s="118">
        <v>0.0</v>
      </c>
      <c r="I98" s="122">
        <v>0.0</v>
      </c>
      <c r="J98" s="122">
        <v>0.0</v>
      </c>
      <c r="K98" s="122">
        <v>0.0</v>
      </c>
      <c r="L98" s="122">
        <v>0.0</v>
      </c>
      <c r="M98" s="122">
        <v>0.0</v>
      </c>
      <c r="N98" s="122">
        <v>0.0</v>
      </c>
      <c r="O98" s="109">
        <f t="shared" si="6"/>
        <v>0</v>
      </c>
    </row>
    <row r="99" ht="14.25" customHeight="1">
      <c r="A99" s="90"/>
      <c r="B99" s="20" t="s">
        <v>404</v>
      </c>
      <c r="C99" s="118">
        <v>0.0</v>
      </c>
      <c r="D99" s="118">
        <v>0.0</v>
      </c>
      <c r="E99" s="118">
        <v>0.0</v>
      </c>
      <c r="F99" s="118">
        <v>0.0</v>
      </c>
      <c r="G99" s="118">
        <v>0.0</v>
      </c>
      <c r="H99" s="118">
        <v>0.0</v>
      </c>
      <c r="I99" s="122">
        <v>0.0</v>
      </c>
      <c r="J99" s="122">
        <v>0.0</v>
      </c>
      <c r="K99" s="122">
        <v>0.0</v>
      </c>
      <c r="L99" s="122">
        <v>0.0</v>
      </c>
      <c r="M99" s="122">
        <v>0.0</v>
      </c>
      <c r="N99" s="122">
        <v>0.0</v>
      </c>
      <c r="O99" s="109">
        <f t="shared" si="6"/>
        <v>0</v>
      </c>
    </row>
    <row r="100" ht="14.25" customHeight="1">
      <c r="A100" s="97" t="s">
        <v>405</v>
      </c>
      <c r="B100" s="98" t="s">
        <v>6</v>
      </c>
      <c r="C100" s="99">
        <f>'січень'!$V41</f>
        <v>221794.29</v>
      </c>
      <c r="D100" s="99">
        <f>'лютий'!$V39</f>
        <v>308212.97</v>
      </c>
      <c r="E100" s="99">
        <f>'березень'!V44</f>
        <v>649020.35</v>
      </c>
      <c r="F100" s="99">
        <f>'квтень'!V45</f>
        <v>614001.74</v>
      </c>
      <c r="G100" s="99">
        <f>'травень'!V44</f>
        <v>645585.67</v>
      </c>
      <c r="H100" s="99">
        <f>'червень'!V96</f>
        <v>693906.86</v>
      </c>
      <c r="I100" s="113">
        <f>'липень'!V90</f>
        <v>748680.964</v>
      </c>
      <c r="J100" s="113">
        <f>'серпень'!V68</f>
        <v>644684.45</v>
      </c>
      <c r="K100" s="113">
        <f>'вересень'!U66</f>
        <v>1177603.49</v>
      </c>
      <c r="L100" s="113">
        <f>'жовтень'!U66</f>
        <v>1216745.23</v>
      </c>
      <c r="M100" s="113">
        <f>'листопад'!V66</f>
        <v>1680418.99</v>
      </c>
      <c r="N100" s="113">
        <f>'грудень'!V66</f>
        <v>67539</v>
      </c>
      <c r="O100" s="100">
        <f t="shared" si="6"/>
        <v>8668194.004</v>
      </c>
    </row>
    <row r="101" ht="14.25" customHeight="1">
      <c r="A101" s="90"/>
      <c r="B101" s="16"/>
      <c r="C101" s="16"/>
      <c r="D101" s="16"/>
      <c r="E101" s="16"/>
      <c r="F101" s="16"/>
      <c r="G101" s="16"/>
      <c r="H101" s="16"/>
      <c r="I101" s="124"/>
      <c r="J101" s="124"/>
      <c r="K101" s="124"/>
      <c r="L101" s="124"/>
      <c r="M101" s="124"/>
      <c r="N101" s="124"/>
      <c r="O101" s="92"/>
    </row>
    <row r="102" ht="14.25" customHeight="1">
      <c r="A102" s="90"/>
      <c r="B102" s="16"/>
      <c r="C102" s="106"/>
      <c r="D102" s="106"/>
      <c r="E102" s="106"/>
      <c r="F102" s="106"/>
      <c r="G102" s="106"/>
      <c r="H102" s="106"/>
      <c r="I102" s="115"/>
      <c r="J102" s="115"/>
      <c r="K102" s="115"/>
      <c r="L102" s="115"/>
      <c r="M102" s="115"/>
      <c r="N102" s="115"/>
      <c r="O102" s="115"/>
    </row>
    <row r="103" ht="14.25" customHeight="1">
      <c r="A103" s="90"/>
      <c r="B103" s="16"/>
      <c r="C103" s="106"/>
      <c r="D103" s="106"/>
      <c r="E103" s="106"/>
      <c r="F103" s="106"/>
      <c r="G103" s="106"/>
      <c r="H103" s="106"/>
      <c r="I103" s="115"/>
      <c r="J103" s="115"/>
      <c r="K103" s="115"/>
      <c r="L103" s="115"/>
      <c r="M103" s="115"/>
      <c r="N103" s="115"/>
      <c r="O103" s="115"/>
    </row>
    <row r="104" ht="14.25" customHeight="1">
      <c r="A104" s="90"/>
      <c r="B104" s="16"/>
      <c r="C104" s="106"/>
      <c r="D104" s="106"/>
      <c r="E104" s="106"/>
      <c r="F104" s="106"/>
      <c r="G104" s="106"/>
      <c r="H104" s="106"/>
      <c r="I104" s="115"/>
      <c r="J104" s="115"/>
      <c r="K104" s="115"/>
      <c r="L104" s="115"/>
      <c r="M104" s="115"/>
      <c r="N104" s="115"/>
      <c r="O104" s="115"/>
    </row>
    <row r="105" ht="14.25" customHeight="1">
      <c r="A105" s="90"/>
      <c r="B105" s="16"/>
      <c r="C105" s="106"/>
      <c r="D105" s="106"/>
      <c r="E105" s="106"/>
      <c r="F105" s="106"/>
      <c r="G105" s="106"/>
      <c r="H105" s="106"/>
      <c r="I105" s="115"/>
      <c r="J105" s="115"/>
      <c r="K105" s="115"/>
      <c r="L105" s="115"/>
      <c r="M105" s="115"/>
      <c r="N105" s="115"/>
      <c r="O105" s="115"/>
    </row>
    <row r="106" ht="14.25" customHeight="1">
      <c r="A106" s="90"/>
      <c r="B106" s="16"/>
      <c r="C106" s="106"/>
      <c r="D106" s="106"/>
      <c r="E106" s="106"/>
      <c r="F106" s="106"/>
      <c r="G106" s="106"/>
      <c r="H106" s="106"/>
      <c r="I106" s="115"/>
      <c r="J106" s="115"/>
      <c r="K106" s="115"/>
      <c r="L106" s="115"/>
      <c r="M106" s="115"/>
      <c r="N106" s="115"/>
      <c r="O106" s="115"/>
    </row>
    <row r="107" ht="14.25" customHeight="1">
      <c r="A107" s="90"/>
      <c r="B107" s="16"/>
      <c r="C107" s="106"/>
      <c r="D107" s="106"/>
      <c r="E107" s="106"/>
      <c r="F107" s="106"/>
      <c r="G107" s="106"/>
      <c r="H107" s="106"/>
      <c r="I107" s="115"/>
      <c r="J107" s="115"/>
      <c r="K107" s="115"/>
      <c r="L107" s="115"/>
      <c r="M107" s="115"/>
      <c r="N107" s="115"/>
      <c r="O107" s="115"/>
    </row>
    <row r="108" ht="14.25" customHeight="1">
      <c r="A108" s="90"/>
      <c r="B108" s="16"/>
      <c r="C108" s="106"/>
      <c r="D108" s="106"/>
      <c r="E108" s="106"/>
      <c r="F108" s="106"/>
      <c r="G108" s="106"/>
      <c r="H108" s="106"/>
      <c r="I108" s="115"/>
      <c r="J108" s="115"/>
      <c r="K108" s="115"/>
      <c r="L108" s="115"/>
      <c r="M108" s="115"/>
      <c r="N108" s="115"/>
      <c r="O108" s="115"/>
    </row>
    <row r="109" ht="14.25" customHeight="1">
      <c r="A109" s="90"/>
      <c r="B109" s="16"/>
      <c r="C109" s="106"/>
      <c r="D109" s="106"/>
      <c r="E109" s="106"/>
      <c r="F109" s="106"/>
      <c r="G109" s="106"/>
      <c r="H109" s="106"/>
      <c r="I109" s="115"/>
      <c r="J109" s="115"/>
      <c r="K109" s="115"/>
      <c r="L109" s="115"/>
      <c r="M109" s="115"/>
      <c r="N109" s="115"/>
      <c r="O109" s="115"/>
    </row>
    <row r="110" ht="14.25" customHeight="1">
      <c r="A110" s="90"/>
      <c r="B110" s="16"/>
      <c r="C110" s="106"/>
      <c r="D110" s="106"/>
      <c r="E110" s="106"/>
      <c r="F110" s="106"/>
      <c r="G110" s="106"/>
      <c r="H110" s="106"/>
      <c r="I110" s="115"/>
      <c r="J110" s="115"/>
      <c r="K110" s="115"/>
      <c r="L110" s="115"/>
      <c r="M110" s="115"/>
      <c r="N110" s="115"/>
      <c r="O110" s="115"/>
    </row>
    <row r="111" ht="14.25" customHeight="1">
      <c r="A111" s="90"/>
      <c r="B111" s="16"/>
      <c r="C111" s="106"/>
      <c r="D111" s="106"/>
      <c r="E111" s="106"/>
      <c r="F111" s="106"/>
      <c r="G111" s="106"/>
      <c r="H111" s="106"/>
      <c r="I111" s="115"/>
      <c r="J111" s="115"/>
      <c r="K111" s="115"/>
      <c r="L111" s="115"/>
      <c r="M111" s="115"/>
      <c r="N111" s="115"/>
      <c r="O111" s="115"/>
    </row>
    <row r="112" ht="14.25" customHeight="1">
      <c r="A112" s="90"/>
      <c r="B112" s="16"/>
      <c r="C112" s="106"/>
      <c r="D112" s="106"/>
      <c r="E112" s="106"/>
      <c r="F112" s="106"/>
      <c r="G112" s="106"/>
      <c r="H112" s="106"/>
      <c r="I112" s="115"/>
      <c r="J112" s="115"/>
      <c r="K112" s="115"/>
      <c r="L112" s="115"/>
      <c r="M112" s="115"/>
      <c r="N112" s="115"/>
      <c r="O112" s="115"/>
    </row>
    <row r="113" ht="14.25" customHeight="1">
      <c r="A113" s="90"/>
      <c r="B113" s="16"/>
      <c r="C113" s="106"/>
      <c r="D113" s="106"/>
      <c r="E113" s="106"/>
      <c r="F113" s="106"/>
      <c r="G113" s="106"/>
      <c r="H113" s="106"/>
      <c r="I113" s="115"/>
      <c r="J113" s="115"/>
      <c r="K113" s="115"/>
      <c r="L113" s="115"/>
      <c r="M113" s="115"/>
      <c r="N113" s="115"/>
      <c r="O113" s="115"/>
    </row>
    <row r="114" ht="14.25" customHeight="1">
      <c r="A114" s="90"/>
      <c r="B114" s="16"/>
      <c r="C114" s="106"/>
      <c r="D114" s="106"/>
      <c r="E114" s="106"/>
      <c r="F114" s="106"/>
      <c r="G114" s="106"/>
      <c r="H114" s="106"/>
      <c r="I114" s="115"/>
      <c r="J114" s="115"/>
      <c r="K114" s="115"/>
      <c r="L114" s="115"/>
      <c r="M114" s="115"/>
      <c r="N114" s="115"/>
      <c r="O114" s="115"/>
    </row>
    <row r="115" ht="14.25" customHeight="1">
      <c r="A115" s="90"/>
      <c r="B115" s="16"/>
      <c r="C115" s="106"/>
      <c r="D115" s="106"/>
      <c r="E115" s="106"/>
      <c r="F115" s="106"/>
      <c r="G115" s="106"/>
      <c r="H115" s="106"/>
      <c r="I115" s="115"/>
      <c r="J115" s="115"/>
      <c r="K115" s="115"/>
      <c r="L115" s="115"/>
      <c r="M115" s="115"/>
      <c r="N115" s="115"/>
      <c r="O115" s="115"/>
    </row>
    <row r="116" ht="14.25" customHeight="1">
      <c r="A116" s="90"/>
      <c r="B116" s="16"/>
      <c r="C116" s="106"/>
      <c r="D116" s="106"/>
      <c r="E116" s="106"/>
      <c r="F116" s="106"/>
      <c r="G116" s="106"/>
      <c r="H116" s="106"/>
      <c r="I116" s="115"/>
      <c r="J116" s="115"/>
      <c r="K116" s="115"/>
      <c r="L116" s="115"/>
      <c r="M116" s="115"/>
      <c r="N116" s="115"/>
      <c r="O116" s="115"/>
    </row>
    <row r="117" ht="14.25" customHeight="1">
      <c r="A117" s="90"/>
      <c r="B117" s="16"/>
      <c r="C117" s="106"/>
      <c r="D117" s="106"/>
      <c r="E117" s="106"/>
      <c r="F117" s="106"/>
      <c r="G117" s="106"/>
      <c r="H117" s="106"/>
      <c r="I117" s="115"/>
      <c r="J117" s="115"/>
      <c r="K117" s="115"/>
      <c r="L117" s="115"/>
      <c r="M117" s="115"/>
      <c r="N117" s="115"/>
      <c r="O117" s="115"/>
    </row>
    <row r="118" ht="14.25" customHeight="1">
      <c r="A118" s="90"/>
      <c r="B118" s="16"/>
      <c r="C118" s="106"/>
      <c r="D118" s="106"/>
      <c r="E118" s="106"/>
      <c r="F118" s="106"/>
      <c r="G118" s="106"/>
      <c r="H118" s="106"/>
      <c r="I118" s="115"/>
      <c r="J118" s="115"/>
      <c r="K118" s="115"/>
      <c r="L118" s="115"/>
      <c r="M118" s="115"/>
      <c r="N118" s="115"/>
      <c r="O118" s="115"/>
    </row>
    <row r="119" ht="14.25" customHeight="1">
      <c r="A119" s="90"/>
      <c r="B119" s="16"/>
      <c r="C119" s="106"/>
      <c r="D119" s="106"/>
      <c r="E119" s="106"/>
      <c r="F119" s="106"/>
      <c r="G119" s="106"/>
      <c r="H119" s="106"/>
      <c r="I119" s="115"/>
      <c r="J119" s="115"/>
      <c r="K119" s="115"/>
      <c r="L119" s="115"/>
      <c r="M119" s="115"/>
      <c r="N119" s="115"/>
      <c r="O119" s="115"/>
    </row>
    <row r="120" ht="14.25" customHeight="1">
      <c r="A120" s="90"/>
      <c r="B120" s="16"/>
      <c r="C120" s="106"/>
      <c r="D120" s="106"/>
      <c r="E120" s="106"/>
      <c r="F120" s="106"/>
      <c r="G120" s="106"/>
      <c r="H120" s="106"/>
      <c r="I120" s="115"/>
      <c r="J120" s="115"/>
      <c r="K120" s="115"/>
      <c r="L120" s="115"/>
      <c r="M120" s="115"/>
      <c r="N120" s="115"/>
      <c r="O120" s="115"/>
    </row>
    <row r="121" ht="14.25" customHeight="1">
      <c r="A121" s="90"/>
      <c r="B121" s="16"/>
      <c r="C121" s="106"/>
      <c r="D121" s="106"/>
      <c r="E121" s="106"/>
      <c r="F121" s="106"/>
      <c r="G121" s="106"/>
      <c r="H121" s="106"/>
      <c r="I121" s="115"/>
      <c r="J121" s="115"/>
      <c r="K121" s="115"/>
      <c r="L121" s="115"/>
      <c r="M121" s="115"/>
      <c r="N121" s="115"/>
      <c r="O121" s="115"/>
    </row>
    <row r="122" ht="14.25" customHeight="1">
      <c r="A122" s="90"/>
      <c r="B122" s="16"/>
      <c r="C122" s="106"/>
      <c r="D122" s="106"/>
      <c r="E122" s="106"/>
      <c r="F122" s="106"/>
      <c r="G122" s="106"/>
      <c r="H122" s="106"/>
      <c r="I122" s="115"/>
      <c r="J122" s="115"/>
      <c r="K122" s="115"/>
      <c r="L122" s="115"/>
      <c r="M122" s="115"/>
      <c r="N122" s="115"/>
      <c r="O122" s="115"/>
    </row>
    <row r="123" ht="14.25" customHeight="1">
      <c r="A123" s="90"/>
      <c r="B123" s="16"/>
      <c r="C123" s="106"/>
      <c r="D123" s="106"/>
      <c r="E123" s="106"/>
      <c r="F123" s="106"/>
      <c r="G123" s="106"/>
      <c r="H123" s="106"/>
      <c r="I123" s="115"/>
      <c r="J123" s="115"/>
      <c r="K123" s="115"/>
      <c r="L123" s="115"/>
      <c r="M123" s="115"/>
      <c r="N123" s="115"/>
      <c r="O123" s="115"/>
    </row>
    <row r="124" ht="14.25" customHeight="1">
      <c r="A124" s="90"/>
      <c r="B124" s="16"/>
      <c r="C124" s="106"/>
      <c r="D124" s="106"/>
      <c r="E124" s="106"/>
      <c r="F124" s="106"/>
      <c r="G124" s="106"/>
      <c r="H124" s="106"/>
      <c r="I124" s="115"/>
      <c r="J124" s="115"/>
      <c r="K124" s="115"/>
      <c r="L124" s="115"/>
      <c r="M124" s="115"/>
      <c r="N124" s="115"/>
      <c r="O124" s="115"/>
    </row>
    <row r="125" ht="14.25" customHeight="1">
      <c r="A125" s="90"/>
      <c r="B125" s="16"/>
      <c r="C125" s="106"/>
      <c r="D125" s="106"/>
      <c r="E125" s="106"/>
      <c r="F125" s="106"/>
      <c r="G125" s="106"/>
      <c r="H125" s="106"/>
      <c r="I125" s="115"/>
      <c r="J125" s="115"/>
      <c r="K125" s="115"/>
      <c r="L125" s="115"/>
      <c r="M125" s="115"/>
      <c r="N125" s="115"/>
      <c r="O125" s="115"/>
    </row>
    <row r="126" ht="14.25" customHeight="1">
      <c r="A126" s="90"/>
      <c r="B126" s="16"/>
      <c r="C126" s="106"/>
      <c r="D126" s="106"/>
      <c r="E126" s="106"/>
      <c r="F126" s="106"/>
      <c r="G126" s="106"/>
      <c r="H126" s="106"/>
      <c r="I126" s="115"/>
      <c r="J126" s="115"/>
      <c r="K126" s="115"/>
      <c r="L126" s="115"/>
      <c r="M126" s="115"/>
      <c r="N126" s="115"/>
      <c r="O126" s="115"/>
    </row>
    <row r="127" ht="14.25" customHeight="1">
      <c r="A127" s="90"/>
      <c r="B127" s="16"/>
      <c r="C127" s="106"/>
      <c r="D127" s="106"/>
      <c r="E127" s="106"/>
      <c r="F127" s="106"/>
      <c r="G127" s="106"/>
      <c r="H127" s="106"/>
      <c r="I127" s="115"/>
      <c r="J127" s="115"/>
      <c r="K127" s="115"/>
      <c r="L127" s="115"/>
      <c r="M127" s="115"/>
      <c r="N127" s="115"/>
      <c r="O127" s="115"/>
    </row>
    <row r="128" ht="14.25" customHeight="1">
      <c r="A128" s="90"/>
      <c r="B128" s="16"/>
      <c r="C128" s="106"/>
      <c r="D128" s="106"/>
      <c r="E128" s="106"/>
      <c r="F128" s="106"/>
      <c r="G128" s="106"/>
      <c r="H128" s="106"/>
      <c r="I128" s="115"/>
      <c r="J128" s="115"/>
      <c r="K128" s="115"/>
      <c r="L128" s="115"/>
      <c r="M128" s="115"/>
      <c r="N128" s="115"/>
      <c r="O128" s="115"/>
    </row>
    <row r="129" ht="14.25" customHeight="1">
      <c r="A129" s="90"/>
      <c r="B129" s="16"/>
      <c r="C129" s="106"/>
      <c r="D129" s="106"/>
      <c r="E129" s="106"/>
      <c r="F129" s="106"/>
      <c r="G129" s="106"/>
      <c r="H129" s="106"/>
      <c r="I129" s="115"/>
      <c r="J129" s="115"/>
      <c r="K129" s="115"/>
      <c r="L129" s="115"/>
      <c r="M129" s="115"/>
      <c r="N129" s="115"/>
      <c r="O129" s="115"/>
    </row>
    <row r="130" ht="14.25" customHeight="1">
      <c r="A130" s="90"/>
      <c r="B130" s="16"/>
      <c r="C130" s="106"/>
      <c r="D130" s="106"/>
      <c r="E130" s="106"/>
      <c r="F130" s="106"/>
      <c r="G130" s="106"/>
      <c r="H130" s="106"/>
      <c r="I130" s="115"/>
      <c r="J130" s="115"/>
      <c r="K130" s="115"/>
      <c r="L130" s="115"/>
      <c r="M130" s="115"/>
      <c r="N130" s="115"/>
      <c r="O130" s="115"/>
    </row>
    <row r="131" ht="14.25" customHeight="1">
      <c r="A131" s="90"/>
      <c r="B131" s="16"/>
      <c r="C131" s="106"/>
      <c r="D131" s="106"/>
      <c r="E131" s="106"/>
      <c r="F131" s="106"/>
      <c r="G131" s="106"/>
      <c r="H131" s="106"/>
      <c r="I131" s="115"/>
      <c r="J131" s="115"/>
      <c r="K131" s="115"/>
      <c r="L131" s="115"/>
      <c r="M131" s="115"/>
      <c r="N131" s="115"/>
      <c r="O131" s="115"/>
    </row>
    <row r="132" ht="14.25" customHeight="1">
      <c r="A132" s="90"/>
      <c r="B132" s="16"/>
      <c r="C132" s="106"/>
      <c r="D132" s="106"/>
      <c r="E132" s="106"/>
      <c r="F132" s="106"/>
      <c r="G132" s="106"/>
      <c r="H132" s="106"/>
      <c r="I132" s="115"/>
      <c r="J132" s="115"/>
      <c r="K132" s="115"/>
      <c r="L132" s="115"/>
      <c r="M132" s="115"/>
      <c r="N132" s="115"/>
      <c r="O132" s="115"/>
    </row>
    <row r="133" ht="14.25" customHeight="1">
      <c r="A133" s="90"/>
      <c r="B133" s="16"/>
      <c r="C133" s="106"/>
      <c r="D133" s="106"/>
      <c r="E133" s="106"/>
      <c r="F133" s="106"/>
      <c r="G133" s="106"/>
      <c r="H133" s="106"/>
      <c r="I133" s="115"/>
      <c r="J133" s="115"/>
      <c r="K133" s="115"/>
      <c r="L133" s="115"/>
      <c r="M133" s="115"/>
      <c r="N133" s="115"/>
      <c r="O133" s="115"/>
    </row>
    <row r="134" ht="14.25" customHeight="1">
      <c r="A134" s="90"/>
      <c r="B134" s="16"/>
      <c r="C134" s="106"/>
      <c r="D134" s="106"/>
      <c r="E134" s="106"/>
      <c r="F134" s="106"/>
      <c r="G134" s="106"/>
      <c r="H134" s="106"/>
      <c r="I134" s="115"/>
      <c r="J134" s="115"/>
      <c r="K134" s="115"/>
      <c r="L134" s="115"/>
      <c r="M134" s="115"/>
      <c r="N134" s="115"/>
      <c r="O134" s="115"/>
    </row>
    <row r="135" ht="14.25" customHeight="1">
      <c r="A135" s="90"/>
      <c r="B135" s="16"/>
      <c r="C135" s="106"/>
      <c r="D135" s="106"/>
      <c r="E135" s="106"/>
      <c r="F135" s="106"/>
      <c r="G135" s="106"/>
      <c r="H135" s="106"/>
      <c r="I135" s="115"/>
      <c r="J135" s="115"/>
      <c r="K135" s="115"/>
      <c r="L135" s="115"/>
      <c r="M135" s="115"/>
      <c r="N135" s="115"/>
      <c r="O135" s="115"/>
    </row>
    <row r="136" ht="14.25" customHeight="1">
      <c r="A136" s="90"/>
      <c r="B136" s="16"/>
      <c r="C136" s="106"/>
      <c r="D136" s="106"/>
      <c r="E136" s="106"/>
      <c r="F136" s="106"/>
      <c r="G136" s="106"/>
      <c r="H136" s="106"/>
      <c r="I136" s="115"/>
      <c r="J136" s="115"/>
      <c r="K136" s="115"/>
      <c r="L136" s="115"/>
      <c r="M136" s="115"/>
      <c r="N136" s="115"/>
      <c r="O136" s="115"/>
    </row>
    <row r="137" ht="14.25" customHeight="1">
      <c r="A137" s="90"/>
      <c r="B137" s="16"/>
      <c r="C137" s="106"/>
      <c r="D137" s="106"/>
      <c r="E137" s="106"/>
      <c r="F137" s="106"/>
      <c r="G137" s="106"/>
      <c r="H137" s="106"/>
      <c r="I137" s="115"/>
      <c r="J137" s="115"/>
      <c r="K137" s="115"/>
      <c r="L137" s="115"/>
      <c r="M137" s="115"/>
      <c r="N137" s="115"/>
      <c r="O137" s="115"/>
    </row>
    <row r="138" ht="14.25" customHeight="1">
      <c r="A138" s="90"/>
      <c r="B138" s="16"/>
      <c r="C138" s="106"/>
      <c r="D138" s="106"/>
      <c r="E138" s="106"/>
      <c r="F138" s="106"/>
      <c r="G138" s="106"/>
      <c r="H138" s="106"/>
      <c r="I138" s="115"/>
      <c r="J138" s="115"/>
      <c r="K138" s="115"/>
      <c r="L138" s="115"/>
      <c r="M138" s="115"/>
      <c r="N138" s="115"/>
      <c r="O138" s="115"/>
    </row>
    <row r="139" ht="14.25" customHeight="1">
      <c r="A139" s="90"/>
      <c r="B139" s="16"/>
      <c r="C139" s="106"/>
      <c r="D139" s="106"/>
      <c r="E139" s="106"/>
      <c r="F139" s="106"/>
      <c r="G139" s="106"/>
      <c r="H139" s="106"/>
      <c r="I139" s="115"/>
      <c r="J139" s="115"/>
      <c r="K139" s="115"/>
      <c r="L139" s="115"/>
      <c r="M139" s="115"/>
      <c r="N139" s="115"/>
      <c r="O139" s="115"/>
    </row>
    <row r="140" ht="14.25" customHeight="1">
      <c r="A140" s="90"/>
      <c r="B140" s="16"/>
      <c r="C140" s="106"/>
      <c r="D140" s="106"/>
      <c r="E140" s="106"/>
      <c r="F140" s="106"/>
      <c r="G140" s="106"/>
      <c r="H140" s="106"/>
      <c r="I140" s="115"/>
      <c r="J140" s="115"/>
      <c r="K140" s="115"/>
      <c r="L140" s="115"/>
      <c r="M140" s="115"/>
      <c r="N140" s="115"/>
      <c r="O140" s="115"/>
    </row>
    <row r="141" ht="14.25" customHeight="1">
      <c r="A141" s="90"/>
      <c r="B141" s="16"/>
      <c r="C141" s="106"/>
      <c r="D141" s="106"/>
      <c r="E141" s="106"/>
      <c r="F141" s="106"/>
      <c r="G141" s="106"/>
      <c r="H141" s="106"/>
      <c r="I141" s="115"/>
      <c r="J141" s="115"/>
      <c r="K141" s="115"/>
      <c r="L141" s="115"/>
      <c r="M141" s="115"/>
      <c r="N141" s="115"/>
      <c r="O141" s="115"/>
    </row>
    <row r="142" ht="14.25" customHeight="1">
      <c r="A142" s="90"/>
      <c r="B142" s="16"/>
      <c r="C142" s="106"/>
      <c r="D142" s="106"/>
      <c r="E142" s="106"/>
      <c r="F142" s="106"/>
      <c r="G142" s="106"/>
      <c r="H142" s="106"/>
      <c r="I142" s="115"/>
      <c r="J142" s="115"/>
      <c r="K142" s="115"/>
      <c r="L142" s="115"/>
      <c r="M142" s="115"/>
      <c r="N142" s="115"/>
      <c r="O142" s="115"/>
    </row>
    <row r="143" ht="14.25" customHeight="1">
      <c r="A143" s="90"/>
      <c r="B143" s="16"/>
      <c r="C143" s="106"/>
      <c r="D143" s="106"/>
      <c r="E143" s="106"/>
      <c r="F143" s="106"/>
      <c r="G143" s="106"/>
      <c r="H143" s="106"/>
      <c r="I143" s="115"/>
      <c r="J143" s="115"/>
      <c r="K143" s="115"/>
      <c r="L143" s="115"/>
      <c r="M143" s="115"/>
      <c r="N143" s="115"/>
      <c r="O143" s="115"/>
    </row>
    <row r="144" ht="14.25" customHeight="1">
      <c r="A144" s="90"/>
      <c r="B144" s="16"/>
      <c r="C144" s="106"/>
      <c r="D144" s="106"/>
      <c r="E144" s="106"/>
      <c r="F144" s="106"/>
      <c r="G144" s="106"/>
      <c r="H144" s="106"/>
      <c r="I144" s="115"/>
      <c r="J144" s="115"/>
      <c r="K144" s="115"/>
      <c r="L144" s="115"/>
      <c r="M144" s="115"/>
      <c r="N144" s="115"/>
      <c r="O144" s="115"/>
    </row>
    <row r="145" ht="14.25" customHeight="1">
      <c r="A145" s="90"/>
      <c r="B145" s="16"/>
      <c r="C145" s="106"/>
      <c r="D145" s="106"/>
      <c r="E145" s="106"/>
      <c r="F145" s="106"/>
      <c r="G145" s="106"/>
      <c r="H145" s="106"/>
      <c r="I145" s="115"/>
      <c r="J145" s="115"/>
      <c r="K145" s="115"/>
      <c r="L145" s="115"/>
      <c r="M145" s="115"/>
      <c r="N145" s="115"/>
      <c r="O145" s="115"/>
    </row>
    <row r="146" ht="14.25" customHeight="1">
      <c r="A146" s="90"/>
      <c r="B146" s="16"/>
      <c r="C146" s="106"/>
      <c r="D146" s="106"/>
      <c r="E146" s="106"/>
      <c r="F146" s="106"/>
      <c r="G146" s="106"/>
      <c r="H146" s="106"/>
      <c r="I146" s="115"/>
      <c r="J146" s="115"/>
      <c r="K146" s="115"/>
      <c r="L146" s="115"/>
      <c r="M146" s="115"/>
      <c r="N146" s="115"/>
      <c r="O146" s="115"/>
    </row>
    <row r="147" ht="14.25" customHeight="1">
      <c r="A147" s="90"/>
      <c r="B147" s="16"/>
      <c r="C147" s="106"/>
      <c r="D147" s="106"/>
      <c r="E147" s="106"/>
      <c r="F147" s="106"/>
      <c r="G147" s="106"/>
      <c r="H147" s="106"/>
      <c r="I147" s="115"/>
      <c r="J147" s="115"/>
      <c r="K147" s="115"/>
      <c r="L147" s="115"/>
      <c r="M147" s="115"/>
      <c r="N147" s="115"/>
      <c r="O147" s="115"/>
    </row>
    <row r="148" ht="14.25" customHeight="1">
      <c r="A148" s="90"/>
      <c r="B148" s="16"/>
      <c r="C148" s="106"/>
      <c r="D148" s="106"/>
      <c r="E148" s="106"/>
      <c r="F148" s="106"/>
      <c r="G148" s="106"/>
      <c r="H148" s="106"/>
      <c r="I148" s="115"/>
      <c r="J148" s="115"/>
      <c r="K148" s="115"/>
      <c r="L148" s="115"/>
      <c r="M148" s="115"/>
      <c r="N148" s="115"/>
      <c r="O148" s="115"/>
    </row>
    <row r="149" ht="14.25" customHeight="1">
      <c r="A149" s="90"/>
      <c r="B149" s="16"/>
      <c r="C149" s="106"/>
      <c r="D149" s="106"/>
      <c r="E149" s="106"/>
      <c r="F149" s="106"/>
      <c r="G149" s="106"/>
      <c r="H149" s="106"/>
      <c r="I149" s="115"/>
      <c r="J149" s="115"/>
      <c r="K149" s="115"/>
      <c r="L149" s="115"/>
      <c r="M149" s="115"/>
      <c r="N149" s="115"/>
      <c r="O149" s="115"/>
    </row>
    <row r="150" ht="14.25" customHeight="1">
      <c r="A150" s="90"/>
      <c r="B150" s="16"/>
      <c r="C150" s="106"/>
      <c r="D150" s="106"/>
      <c r="E150" s="106"/>
      <c r="F150" s="106"/>
      <c r="G150" s="106"/>
      <c r="H150" s="106"/>
      <c r="I150" s="115"/>
      <c r="J150" s="115"/>
      <c r="K150" s="115"/>
      <c r="L150" s="115"/>
      <c r="M150" s="115"/>
      <c r="N150" s="115"/>
      <c r="O150" s="115"/>
    </row>
    <row r="151" ht="14.25" customHeight="1">
      <c r="A151" s="90"/>
      <c r="B151" s="16"/>
      <c r="C151" s="106"/>
      <c r="D151" s="106"/>
      <c r="E151" s="106"/>
      <c r="F151" s="106"/>
      <c r="G151" s="106"/>
      <c r="H151" s="106"/>
      <c r="I151" s="115"/>
      <c r="J151" s="115"/>
      <c r="K151" s="115"/>
      <c r="L151" s="115"/>
      <c r="M151" s="115"/>
      <c r="N151" s="115"/>
      <c r="O151" s="115"/>
    </row>
    <row r="152" ht="14.25" customHeight="1">
      <c r="A152" s="90"/>
      <c r="B152" s="16"/>
      <c r="C152" s="106"/>
      <c r="D152" s="106"/>
      <c r="E152" s="106"/>
      <c r="F152" s="106"/>
      <c r="G152" s="106"/>
      <c r="H152" s="106"/>
      <c r="I152" s="115"/>
      <c r="J152" s="115"/>
      <c r="K152" s="115"/>
      <c r="L152" s="115"/>
      <c r="M152" s="115"/>
      <c r="N152" s="115"/>
      <c r="O152" s="115"/>
    </row>
    <row r="153" ht="14.25" customHeight="1">
      <c r="A153" s="90"/>
      <c r="B153" s="16"/>
      <c r="C153" s="106"/>
      <c r="D153" s="106"/>
      <c r="E153" s="106"/>
      <c r="F153" s="106"/>
      <c r="G153" s="106"/>
      <c r="H153" s="106"/>
      <c r="I153" s="115"/>
      <c r="J153" s="115"/>
      <c r="K153" s="115"/>
      <c r="L153" s="115"/>
      <c r="M153" s="115"/>
      <c r="N153" s="115"/>
      <c r="O153" s="115"/>
    </row>
    <row r="154" ht="14.25" customHeight="1">
      <c r="A154" s="90"/>
      <c r="B154" s="16"/>
      <c r="C154" s="106"/>
      <c r="D154" s="106"/>
      <c r="E154" s="106"/>
      <c r="F154" s="106"/>
      <c r="G154" s="106"/>
      <c r="H154" s="106"/>
      <c r="I154" s="115"/>
      <c r="J154" s="115"/>
      <c r="K154" s="115"/>
      <c r="L154" s="115"/>
      <c r="M154" s="115"/>
      <c r="N154" s="115"/>
      <c r="O154" s="115"/>
    </row>
    <row r="155" ht="14.25" customHeight="1">
      <c r="A155" s="90"/>
      <c r="B155" s="16"/>
      <c r="C155" s="106"/>
      <c r="D155" s="106"/>
      <c r="E155" s="106"/>
      <c r="F155" s="106"/>
      <c r="G155" s="106"/>
      <c r="H155" s="106"/>
      <c r="I155" s="115"/>
      <c r="J155" s="115"/>
      <c r="K155" s="115"/>
      <c r="L155" s="115"/>
      <c r="M155" s="115"/>
      <c r="N155" s="115"/>
      <c r="O155" s="115"/>
    </row>
    <row r="156" ht="14.25" customHeight="1">
      <c r="A156" s="90"/>
      <c r="B156" s="16"/>
      <c r="C156" s="106"/>
      <c r="D156" s="106"/>
      <c r="E156" s="106"/>
      <c r="F156" s="106"/>
      <c r="G156" s="106"/>
      <c r="H156" s="106"/>
      <c r="I156" s="115"/>
      <c r="J156" s="115"/>
      <c r="K156" s="115"/>
      <c r="L156" s="115"/>
      <c r="M156" s="115"/>
      <c r="N156" s="115"/>
      <c r="O156" s="115"/>
    </row>
    <row r="157" ht="14.25" customHeight="1">
      <c r="A157" s="90"/>
      <c r="B157" s="16"/>
      <c r="C157" s="106"/>
      <c r="D157" s="106"/>
      <c r="E157" s="106"/>
      <c r="F157" s="106"/>
      <c r="G157" s="106"/>
      <c r="H157" s="106"/>
      <c r="I157" s="115"/>
      <c r="J157" s="115"/>
      <c r="K157" s="115"/>
      <c r="L157" s="115"/>
      <c r="M157" s="115"/>
      <c r="N157" s="115"/>
      <c r="O157" s="115"/>
    </row>
    <row r="158" ht="14.25" customHeight="1">
      <c r="A158" s="90"/>
      <c r="B158" s="16"/>
      <c r="C158" s="106"/>
      <c r="D158" s="106"/>
      <c r="E158" s="106"/>
      <c r="F158" s="106"/>
      <c r="G158" s="106"/>
      <c r="H158" s="106"/>
      <c r="I158" s="115"/>
      <c r="J158" s="115"/>
      <c r="K158" s="115"/>
      <c r="L158" s="115"/>
      <c r="M158" s="115"/>
      <c r="N158" s="115"/>
      <c r="O158" s="115"/>
    </row>
    <row r="159" ht="14.25" customHeight="1">
      <c r="A159" s="90"/>
      <c r="B159" s="16"/>
      <c r="C159" s="106"/>
      <c r="D159" s="106"/>
      <c r="E159" s="106"/>
      <c r="F159" s="106"/>
      <c r="G159" s="106"/>
      <c r="H159" s="106"/>
      <c r="I159" s="115"/>
      <c r="J159" s="115"/>
      <c r="K159" s="115"/>
      <c r="L159" s="115"/>
      <c r="M159" s="115"/>
      <c r="N159" s="115"/>
      <c r="O159" s="115"/>
    </row>
    <row r="160" ht="14.25" customHeight="1">
      <c r="A160" s="90"/>
      <c r="B160" s="16"/>
      <c r="C160" s="106"/>
      <c r="D160" s="106"/>
      <c r="E160" s="106"/>
      <c r="F160" s="106"/>
      <c r="G160" s="106"/>
      <c r="H160" s="106"/>
      <c r="I160" s="115"/>
      <c r="J160" s="115"/>
      <c r="K160" s="115"/>
      <c r="L160" s="115"/>
      <c r="M160" s="115"/>
      <c r="N160" s="115"/>
      <c r="O160" s="115"/>
    </row>
    <row r="161" ht="14.25" customHeight="1">
      <c r="A161" s="90"/>
      <c r="B161" s="16"/>
      <c r="C161" s="106"/>
      <c r="D161" s="106"/>
      <c r="E161" s="106"/>
      <c r="F161" s="106"/>
      <c r="G161" s="106"/>
      <c r="H161" s="106"/>
      <c r="I161" s="115"/>
      <c r="J161" s="115"/>
      <c r="K161" s="115"/>
      <c r="L161" s="115"/>
      <c r="M161" s="115"/>
      <c r="N161" s="115"/>
      <c r="O161" s="115"/>
    </row>
    <row r="162" ht="14.25" customHeight="1">
      <c r="A162" s="90"/>
      <c r="B162" s="16"/>
      <c r="C162" s="106"/>
      <c r="D162" s="106"/>
      <c r="E162" s="106"/>
      <c r="F162" s="106"/>
      <c r="G162" s="106"/>
      <c r="H162" s="106"/>
      <c r="I162" s="115"/>
      <c r="J162" s="115"/>
      <c r="K162" s="115"/>
      <c r="L162" s="115"/>
      <c r="M162" s="115"/>
      <c r="N162" s="115"/>
      <c r="O162" s="115"/>
    </row>
    <row r="163" ht="14.25" customHeight="1">
      <c r="A163" s="90"/>
      <c r="B163" s="16"/>
      <c r="C163" s="106"/>
      <c r="D163" s="106"/>
      <c r="E163" s="106"/>
      <c r="F163" s="106"/>
      <c r="G163" s="106"/>
      <c r="H163" s="106"/>
      <c r="I163" s="115"/>
      <c r="J163" s="115"/>
      <c r="K163" s="115"/>
      <c r="L163" s="115"/>
      <c r="M163" s="115"/>
      <c r="N163" s="115"/>
      <c r="O163" s="115"/>
    </row>
    <row r="164" ht="14.25" customHeight="1">
      <c r="A164" s="90"/>
      <c r="B164" s="16"/>
      <c r="C164" s="106"/>
      <c r="D164" s="106"/>
      <c r="E164" s="106"/>
      <c r="F164" s="106"/>
      <c r="G164" s="106"/>
      <c r="H164" s="106"/>
      <c r="I164" s="115"/>
      <c r="J164" s="115"/>
      <c r="K164" s="115"/>
      <c r="L164" s="115"/>
      <c r="M164" s="115"/>
      <c r="N164" s="115"/>
      <c r="O164" s="115"/>
    </row>
    <row r="165" ht="14.25" customHeight="1">
      <c r="A165" s="90"/>
      <c r="B165" s="16"/>
      <c r="C165" s="106"/>
      <c r="D165" s="106"/>
      <c r="E165" s="106"/>
      <c r="F165" s="106"/>
      <c r="G165" s="106"/>
      <c r="H165" s="106"/>
      <c r="I165" s="115"/>
      <c r="J165" s="115"/>
      <c r="K165" s="115"/>
      <c r="L165" s="115"/>
      <c r="M165" s="115"/>
      <c r="N165" s="115"/>
      <c r="O165" s="115"/>
    </row>
    <row r="166" ht="14.25" customHeight="1">
      <c r="A166" s="90"/>
      <c r="B166" s="16"/>
      <c r="C166" s="106"/>
      <c r="D166" s="106"/>
      <c r="E166" s="106"/>
      <c r="F166" s="106"/>
      <c r="G166" s="106"/>
      <c r="H166" s="106"/>
      <c r="I166" s="115"/>
      <c r="J166" s="115"/>
      <c r="K166" s="115"/>
      <c r="L166" s="115"/>
      <c r="M166" s="115"/>
      <c r="N166" s="115"/>
      <c r="O166" s="115"/>
    </row>
    <row r="167" ht="14.25" customHeight="1">
      <c r="A167" s="90"/>
      <c r="B167" s="16"/>
      <c r="C167" s="106"/>
      <c r="D167" s="106"/>
      <c r="E167" s="106"/>
      <c r="F167" s="106"/>
      <c r="G167" s="106"/>
      <c r="H167" s="106"/>
      <c r="I167" s="115"/>
      <c r="J167" s="115"/>
      <c r="K167" s="115"/>
      <c r="L167" s="115"/>
      <c r="M167" s="115"/>
      <c r="N167" s="115"/>
      <c r="O167" s="115"/>
    </row>
    <row r="168" ht="14.25" customHeight="1">
      <c r="A168" s="90"/>
      <c r="B168" s="16"/>
      <c r="C168" s="106"/>
      <c r="D168" s="106"/>
      <c r="E168" s="106"/>
      <c r="F168" s="106"/>
      <c r="G168" s="106"/>
      <c r="H168" s="106"/>
      <c r="I168" s="115"/>
      <c r="J168" s="115"/>
      <c r="K168" s="115"/>
      <c r="L168" s="115"/>
      <c r="M168" s="115"/>
      <c r="N168" s="115"/>
      <c r="O168" s="115"/>
    </row>
    <row r="169" ht="14.25" customHeight="1">
      <c r="A169" s="90"/>
      <c r="B169" s="16"/>
      <c r="C169" s="106"/>
      <c r="D169" s="106"/>
      <c r="E169" s="106"/>
      <c r="F169" s="106"/>
      <c r="G169" s="106"/>
      <c r="H169" s="106"/>
      <c r="I169" s="115"/>
      <c r="J169" s="115"/>
      <c r="K169" s="115"/>
      <c r="L169" s="115"/>
      <c r="M169" s="115"/>
      <c r="N169" s="115"/>
      <c r="O169" s="115"/>
    </row>
    <row r="170" ht="14.25" customHeight="1">
      <c r="A170" s="90"/>
      <c r="B170" s="16"/>
      <c r="C170" s="106"/>
      <c r="D170" s="106"/>
      <c r="E170" s="106"/>
      <c r="F170" s="106"/>
      <c r="G170" s="106"/>
      <c r="H170" s="106"/>
      <c r="I170" s="115"/>
      <c r="J170" s="115"/>
      <c r="K170" s="115"/>
      <c r="L170" s="115"/>
      <c r="M170" s="115"/>
      <c r="N170" s="115"/>
      <c r="O170" s="115"/>
    </row>
    <row r="171" ht="14.25" customHeight="1">
      <c r="A171" s="90"/>
      <c r="B171" s="16"/>
      <c r="C171" s="106"/>
      <c r="D171" s="106"/>
      <c r="E171" s="106"/>
      <c r="F171" s="106"/>
      <c r="G171" s="106"/>
      <c r="H171" s="106"/>
      <c r="I171" s="115"/>
      <c r="J171" s="115"/>
      <c r="K171" s="115"/>
      <c r="L171" s="115"/>
      <c r="M171" s="115"/>
      <c r="N171" s="115"/>
      <c r="O171" s="115"/>
    </row>
    <row r="172" ht="14.25" customHeight="1">
      <c r="A172" s="90"/>
      <c r="B172" s="16"/>
      <c r="C172" s="106"/>
      <c r="D172" s="106"/>
      <c r="E172" s="106"/>
      <c r="F172" s="106"/>
      <c r="G172" s="106"/>
      <c r="H172" s="106"/>
      <c r="I172" s="115"/>
      <c r="J172" s="115"/>
      <c r="K172" s="115"/>
      <c r="L172" s="115"/>
      <c r="M172" s="115"/>
      <c r="N172" s="115"/>
      <c r="O172" s="115"/>
    </row>
    <row r="173" ht="14.25" customHeight="1">
      <c r="A173" s="90"/>
      <c r="B173" s="16"/>
      <c r="C173" s="106"/>
      <c r="D173" s="106"/>
      <c r="E173" s="106"/>
      <c r="F173" s="106"/>
      <c r="G173" s="106"/>
      <c r="H173" s="106"/>
      <c r="I173" s="115"/>
      <c r="J173" s="115"/>
      <c r="K173" s="115"/>
      <c r="L173" s="115"/>
      <c r="M173" s="115"/>
      <c r="N173" s="115"/>
      <c r="O173" s="115"/>
    </row>
    <row r="174" ht="14.25" customHeight="1">
      <c r="A174" s="90"/>
      <c r="B174" s="16"/>
      <c r="C174" s="106"/>
      <c r="D174" s="106"/>
      <c r="E174" s="106"/>
      <c r="F174" s="106"/>
      <c r="G174" s="106"/>
      <c r="H174" s="106"/>
      <c r="I174" s="115"/>
      <c r="J174" s="115"/>
      <c r="K174" s="115"/>
      <c r="L174" s="115"/>
      <c r="M174" s="115"/>
      <c r="N174" s="115"/>
      <c r="O174" s="115"/>
    </row>
    <row r="175" ht="14.25" customHeight="1">
      <c r="A175" s="90"/>
      <c r="B175" s="16"/>
      <c r="C175" s="106"/>
      <c r="D175" s="106"/>
      <c r="E175" s="106"/>
      <c r="F175" s="106"/>
      <c r="G175" s="106"/>
      <c r="H175" s="106"/>
      <c r="I175" s="115"/>
      <c r="J175" s="115"/>
      <c r="K175" s="115"/>
      <c r="L175" s="115"/>
      <c r="M175" s="115"/>
      <c r="N175" s="115"/>
      <c r="O175" s="115"/>
    </row>
    <row r="176" ht="14.25" customHeight="1">
      <c r="A176" s="90"/>
      <c r="B176" s="16"/>
      <c r="C176" s="106"/>
      <c r="D176" s="106"/>
      <c r="E176" s="106"/>
      <c r="F176" s="106"/>
      <c r="G176" s="106"/>
      <c r="H176" s="106"/>
      <c r="I176" s="115"/>
      <c r="J176" s="115"/>
      <c r="K176" s="115"/>
      <c r="L176" s="115"/>
      <c r="M176" s="115"/>
      <c r="N176" s="115"/>
      <c r="O176" s="115"/>
    </row>
    <row r="177" ht="14.25" customHeight="1">
      <c r="A177" s="90"/>
      <c r="B177" s="16"/>
      <c r="C177" s="106"/>
      <c r="D177" s="106"/>
      <c r="E177" s="106"/>
      <c r="F177" s="106"/>
      <c r="G177" s="106"/>
      <c r="H177" s="106"/>
      <c r="I177" s="115"/>
      <c r="J177" s="115"/>
      <c r="K177" s="115"/>
      <c r="L177" s="115"/>
      <c r="M177" s="115"/>
      <c r="N177" s="115"/>
      <c r="O177" s="115"/>
    </row>
    <row r="178" ht="14.25" customHeight="1">
      <c r="A178" s="90"/>
      <c r="B178" s="16"/>
      <c r="C178" s="106"/>
      <c r="D178" s="106"/>
      <c r="E178" s="106"/>
      <c r="F178" s="106"/>
      <c r="G178" s="106"/>
      <c r="H178" s="106"/>
      <c r="I178" s="115"/>
      <c r="J178" s="115"/>
      <c r="K178" s="115"/>
      <c r="L178" s="115"/>
      <c r="M178" s="115"/>
      <c r="N178" s="115"/>
      <c r="O178" s="115"/>
    </row>
    <row r="179" ht="14.25" customHeight="1">
      <c r="A179" s="90"/>
      <c r="B179" s="16"/>
      <c r="C179" s="106"/>
      <c r="D179" s="106"/>
      <c r="E179" s="106"/>
      <c r="F179" s="106"/>
      <c r="G179" s="106"/>
      <c r="H179" s="106"/>
      <c r="I179" s="115"/>
      <c r="J179" s="115"/>
      <c r="K179" s="115"/>
      <c r="L179" s="115"/>
      <c r="M179" s="115"/>
      <c r="N179" s="115"/>
      <c r="O179" s="115"/>
    </row>
    <row r="180" ht="14.25" customHeight="1">
      <c r="A180" s="90"/>
      <c r="B180" s="16"/>
      <c r="C180" s="106"/>
      <c r="D180" s="106"/>
      <c r="E180" s="106"/>
      <c r="F180" s="106"/>
      <c r="G180" s="106"/>
      <c r="H180" s="106"/>
      <c r="I180" s="115"/>
      <c r="J180" s="115"/>
      <c r="K180" s="115"/>
      <c r="L180" s="115"/>
      <c r="M180" s="115"/>
      <c r="N180" s="115"/>
      <c r="O180" s="115"/>
    </row>
    <row r="181" ht="14.25" customHeight="1">
      <c r="A181" s="90"/>
      <c r="B181" s="16"/>
      <c r="C181" s="106"/>
      <c r="D181" s="106"/>
      <c r="E181" s="106"/>
      <c r="F181" s="106"/>
      <c r="G181" s="106"/>
      <c r="H181" s="106"/>
      <c r="I181" s="115"/>
      <c r="J181" s="115"/>
      <c r="K181" s="115"/>
      <c r="L181" s="115"/>
      <c r="M181" s="115"/>
      <c r="N181" s="115"/>
      <c r="O181" s="115"/>
    </row>
    <row r="182" ht="14.25" customHeight="1">
      <c r="A182" s="90"/>
      <c r="B182" s="16"/>
      <c r="C182" s="106"/>
      <c r="D182" s="106"/>
      <c r="E182" s="106"/>
      <c r="F182" s="106"/>
      <c r="G182" s="106"/>
      <c r="H182" s="106"/>
      <c r="I182" s="115"/>
      <c r="J182" s="115"/>
      <c r="K182" s="115"/>
      <c r="L182" s="115"/>
      <c r="M182" s="115"/>
      <c r="N182" s="115"/>
      <c r="O182" s="115"/>
    </row>
    <row r="183" ht="14.25" customHeight="1">
      <c r="A183" s="90"/>
      <c r="B183" s="16"/>
      <c r="C183" s="106"/>
      <c r="D183" s="106"/>
      <c r="E183" s="106"/>
      <c r="F183" s="106"/>
      <c r="G183" s="106"/>
      <c r="H183" s="106"/>
      <c r="I183" s="115"/>
      <c r="J183" s="115"/>
      <c r="K183" s="115"/>
      <c r="L183" s="115"/>
      <c r="M183" s="115"/>
      <c r="N183" s="115"/>
      <c r="O183" s="115"/>
    </row>
    <row r="184" ht="14.25" customHeight="1">
      <c r="A184" s="90"/>
      <c r="B184" s="16"/>
      <c r="C184" s="106"/>
      <c r="D184" s="106"/>
      <c r="E184" s="106"/>
      <c r="F184" s="106"/>
      <c r="G184" s="106"/>
      <c r="H184" s="106"/>
      <c r="I184" s="115"/>
      <c r="J184" s="115"/>
      <c r="K184" s="115"/>
      <c r="L184" s="115"/>
      <c r="M184" s="115"/>
      <c r="N184" s="115"/>
      <c r="O184" s="115"/>
    </row>
    <row r="185" ht="14.25" customHeight="1">
      <c r="A185" s="90"/>
      <c r="B185" s="16"/>
      <c r="C185" s="106"/>
      <c r="D185" s="106"/>
      <c r="E185" s="106"/>
      <c r="F185" s="106"/>
      <c r="G185" s="106"/>
      <c r="H185" s="106"/>
      <c r="I185" s="115"/>
      <c r="J185" s="115"/>
      <c r="K185" s="115"/>
      <c r="L185" s="115"/>
      <c r="M185" s="115"/>
      <c r="N185" s="115"/>
      <c r="O185" s="115"/>
    </row>
    <row r="186" ht="14.25" customHeight="1">
      <c r="A186" s="90"/>
      <c r="B186" s="16"/>
      <c r="C186" s="106"/>
      <c r="D186" s="106"/>
      <c r="E186" s="106"/>
      <c r="F186" s="106"/>
      <c r="G186" s="106"/>
      <c r="H186" s="106"/>
      <c r="I186" s="115"/>
      <c r="J186" s="115"/>
      <c r="K186" s="115"/>
      <c r="L186" s="115"/>
      <c r="M186" s="115"/>
      <c r="N186" s="115"/>
      <c r="O186" s="115"/>
    </row>
    <row r="187" ht="14.25" customHeight="1">
      <c r="A187" s="90"/>
      <c r="B187" s="16"/>
      <c r="C187" s="106"/>
      <c r="D187" s="106"/>
      <c r="E187" s="106"/>
      <c r="F187" s="106"/>
      <c r="G187" s="106"/>
      <c r="H187" s="106"/>
      <c r="I187" s="115"/>
      <c r="J187" s="115"/>
      <c r="K187" s="115"/>
      <c r="L187" s="115"/>
      <c r="M187" s="115"/>
      <c r="N187" s="115"/>
      <c r="O187" s="115"/>
    </row>
    <row r="188" ht="14.25" customHeight="1">
      <c r="A188" s="90"/>
      <c r="B188" s="16"/>
      <c r="C188" s="106"/>
      <c r="D188" s="106"/>
      <c r="E188" s="106"/>
      <c r="F188" s="106"/>
      <c r="G188" s="106"/>
      <c r="H188" s="106"/>
      <c r="I188" s="115"/>
      <c r="J188" s="115"/>
      <c r="K188" s="115"/>
      <c r="L188" s="115"/>
      <c r="M188" s="115"/>
      <c r="N188" s="115"/>
      <c r="O188" s="115"/>
    </row>
    <row r="189" ht="14.25" customHeight="1">
      <c r="A189" s="90"/>
      <c r="B189" s="16"/>
      <c r="C189" s="106"/>
      <c r="D189" s="106"/>
      <c r="E189" s="106"/>
      <c r="F189" s="106"/>
      <c r="G189" s="106"/>
      <c r="H189" s="106"/>
      <c r="I189" s="115"/>
      <c r="J189" s="115"/>
      <c r="K189" s="115"/>
      <c r="L189" s="115"/>
      <c r="M189" s="115"/>
      <c r="N189" s="115"/>
      <c r="O189" s="115"/>
    </row>
    <row r="190" ht="14.25" customHeight="1">
      <c r="A190" s="90"/>
      <c r="B190" s="16"/>
      <c r="C190" s="106"/>
      <c r="D190" s="106"/>
      <c r="E190" s="106"/>
      <c r="F190" s="106"/>
      <c r="G190" s="106"/>
      <c r="H190" s="106"/>
      <c r="I190" s="115"/>
      <c r="J190" s="115"/>
      <c r="K190" s="115"/>
      <c r="L190" s="115"/>
      <c r="M190" s="115"/>
      <c r="N190" s="115"/>
      <c r="O190" s="115"/>
    </row>
    <row r="191" ht="14.25" customHeight="1">
      <c r="A191" s="90"/>
      <c r="B191" s="16"/>
      <c r="C191" s="106"/>
      <c r="D191" s="106"/>
      <c r="E191" s="106"/>
      <c r="F191" s="106"/>
      <c r="G191" s="106"/>
      <c r="H191" s="106"/>
      <c r="I191" s="115"/>
      <c r="J191" s="115"/>
      <c r="K191" s="115"/>
      <c r="L191" s="115"/>
      <c r="M191" s="115"/>
      <c r="N191" s="115"/>
      <c r="O191" s="115"/>
    </row>
    <row r="192" ht="14.25" customHeight="1">
      <c r="A192" s="90"/>
      <c r="B192" s="16"/>
      <c r="C192" s="106"/>
      <c r="D192" s="106"/>
      <c r="E192" s="106"/>
      <c r="F192" s="106"/>
      <c r="G192" s="106"/>
      <c r="H192" s="106"/>
      <c r="I192" s="115"/>
      <c r="J192" s="115"/>
      <c r="K192" s="115"/>
      <c r="L192" s="115"/>
      <c r="M192" s="115"/>
      <c r="N192" s="115"/>
      <c r="O192" s="115"/>
    </row>
    <row r="193" ht="14.25" customHeight="1">
      <c r="A193" s="90"/>
      <c r="B193" s="16"/>
      <c r="C193" s="106"/>
      <c r="D193" s="106"/>
      <c r="E193" s="106"/>
      <c r="F193" s="106"/>
      <c r="G193" s="106"/>
      <c r="H193" s="106"/>
      <c r="I193" s="115"/>
      <c r="J193" s="115"/>
      <c r="K193" s="115"/>
      <c r="L193" s="115"/>
      <c r="M193" s="115"/>
      <c r="N193" s="115"/>
      <c r="O193" s="115"/>
    </row>
    <row r="194" ht="14.25" customHeight="1">
      <c r="A194" s="90"/>
      <c r="B194" s="16"/>
      <c r="C194" s="106"/>
      <c r="D194" s="106"/>
      <c r="E194" s="106"/>
      <c r="F194" s="106"/>
      <c r="G194" s="106"/>
      <c r="H194" s="106"/>
      <c r="I194" s="115"/>
      <c r="J194" s="115"/>
      <c r="K194" s="115"/>
      <c r="L194" s="115"/>
      <c r="M194" s="115"/>
      <c r="N194" s="115"/>
      <c r="O194" s="115"/>
    </row>
    <row r="195" ht="14.25" customHeight="1">
      <c r="A195" s="90"/>
      <c r="B195" s="16"/>
      <c r="C195" s="106"/>
      <c r="D195" s="106"/>
      <c r="E195" s="106"/>
      <c r="F195" s="106"/>
      <c r="G195" s="106"/>
      <c r="H195" s="106"/>
      <c r="I195" s="115"/>
      <c r="J195" s="115"/>
      <c r="K195" s="115"/>
      <c r="L195" s="115"/>
      <c r="M195" s="115"/>
      <c r="N195" s="115"/>
      <c r="O195" s="115"/>
    </row>
    <row r="196" ht="14.25" customHeight="1">
      <c r="A196" s="90"/>
      <c r="B196" s="16"/>
      <c r="C196" s="106"/>
      <c r="D196" s="106"/>
      <c r="E196" s="106"/>
      <c r="F196" s="106"/>
      <c r="G196" s="106"/>
      <c r="H196" s="106"/>
      <c r="I196" s="115"/>
      <c r="J196" s="115"/>
      <c r="K196" s="115"/>
      <c r="L196" s="115"/>
      <c r="M196" s="115"/>
      <c r="N196" s="115"/>
      <c r="O196" s="115"/>
    </row>
    <row r="197" ht="14.25" customHeight="1">
      <c r="A197" s="90"/>
      <c r="B197" s="16"/>
      <c r="C197" s="106"/>
      <c r="D197" s="106"/>
      <c r="E197" s="106"/>
      <c r="F197" s="106"/>
      <c r="G197" s="106"/>
      <c r="H197" s="106"/>
      <c r="I197" s="115"/>
      <c r="J197" s="115"/>
      <c r="K197" s="115"/>
      <c r="L197" s="115"/>
      <c r="M197" s="115"/>
      <c r="N197" s="115"/>
      <c r="O197" s="115"/>
    </row>
    <row r="198" ht="14.25" customHeight="1">
      <c r="A198" s="90"/>
      <c r="B198" s="16"/>
      <c r="C198" s="106"/>
      <c r="D198" s="106"/>
      <c r="E198" s="106"/>
      <c r="F198" s="106"/>
      <c r="G198" s="106"/>
      <c r="H198" s="106"/>
      <c r="I198" s="115"/>
      <c r="J198" s="115"/>
      <c r="K198" s="115"/>
      <c r="L198" s="115"/>
      <c r="M198" s="115"/>
      <c r="N198" s="115"/>
      <c r="O198" s="115"/>
    </row>
    <row r="199" ht="14.25" customHeight="1">
      <c r="A199" s="90"/>
      <c r="B199" s="16"/>
      <c r="C199" s="106"/>
      <c r="D199" s="106"/>
      <c r="E199" s="106"/>
      <c r="F199" s="106"/>
      <c r="G199" s="106"/>
      <c r="H199" s="106"/>
      <c r="I199" s="115"/>
      <c r="J199" s="115"/>
      <c r="K199" s="115"/>
      <c r="L199" s="115"/>
      <c r="M199" s="115"/>
      <c r="N199" s="115"/>
      <c r="O199" s="115"/>
    </row>
    <row r="200" ht="14.25" customHeight="1">
      <c r="A200" s="90"/>
      <c r="B200" s="16"/>
      <c r="C200" s="106"/>
      <c r="D200" s="106"/>
      <c r="E200" s="106"/>
      <c r="F200" s="106"/>
      <c r="G200" s="106"/>
      <c r="H200" s="106"/>
      <c r="I200" s="115"/>
      <c r="J200" s="115"/>
      <c r="K200" s="115"/>
      <c r="L200" s="115"/>
      <c r="M200" s="115"/>
      <c r="N200" s="115"/>
      <c r="O200" s="115"/>
    </row>
    <row r="201" ht="14.25" customHeight="1">
      <c r="A201" s="90"/>
      <c r="B201" s="16"/>
      <c r="C201" s="106"/>
      <c r="D201" s="106"/>
      <c r="E201" s="106"/>
      <c r="F201" s="106"/>
      <c r="G201" s="106"/>
      <c r="H201" s="106"/>
      <c r="I201" s="115"/>
      <c r="J201" s="115"/>
      <c r="K201" s="115"/>
      <c r="L201" s="115"/>
      <c r="M201" s="115"/>
      <c r="N201" s="115"/>
      <c r="O201" s="115"/>
    </row>
    <row r="202" ht="14.25" customHeight="1">
      <c r="A202" s="90"/>
      <c r="B202" s="16"/>
      <c r="C202" s="106"/>
      <c r="D202" s="106"/>
      <c r="E202" s="106"/>
      <c r="F202" s="106"/>
      <c r="G202" s="106"/>
      <c r="H202" s="106"/>
      <c r="I202" s="115"/>
      <c r="J202" s="115"/>
      <c r="K202" s="115"/>
      <c r="L202" s="115"/>
      <c r="M202" s="115"/>
      <c r="N202" s="115"/>
      <c r="O202" s="115"/>
    </row>
    <row r="203" ht="14.25" customHeight="1">
      <c r="A203" s="90"/>
      <c r="B203" s="16"/>
      <c r="C203" s="106"/>
      <c r="D203" s="106"/>
      <c r="E203" s="106"/>
      <c r="F203" s="106"/>
      <c r="G203" s="106"/>
      <c r="H203" s="106"/>
      <c r="I203" s="115"/>
      <c r="J203" s="115"/>
      <c r="K203" s="115"/>
      <c r="L203" s="115"/>
      <c r="M203" s="115"/>
      <c r="N203" s="115"/>
      <c r="O203" s="115"/>
    </row>
    <row r="204" ht="14.25" customHeight="1">
      <c r="A204" s="90"/>
      <c r="B204" s="16"/>
      <c r="C204" s="106"/>
      <c r="D204" s="106"/>
      <c r="E204" s="106"/>
      <c r="F204" s="106"/>
      <c r="G204" s="106"/>
      <c r="H204" s="106"/>
      <c r="I204" s="115"/>
      <c r="J204" s="115"/>
      <c r="K204" s="115"/>
      <c r="L204" s="115"/>
      <c r="M204" s="115"/>
      <c r="N204" s="115"/>
      <c r="O204" s="115"/>
    </row>
    <row r="205" ht="14.25" customHeight="1">
      <c r="A205" s="90"/>
      <c r="B205" s="16"/>
      <c r="C205" s="106"/>
      <c r="D205" s="106"/>
      <c r="E205" s="106"/>
      <c r="F205" s="106"/>
      <c r="G205" s="106"/>
      <c r="H205" s="106"/>
      <c r="I205" s="115"/>
      <c r="J205" s="115"/>
      <c r="K205" s="115"/>
      <c r="L205" s="115"/>
      <c r="M205" s="115"/>
      <c r="N205" s="115"/>
      <c r="O205" s="115"/>
    </row>
    <row r="206" ht="14.25" customHeight="1">
      <c r="A206" s="90"/>
      <c r="B206" s="16"/>
      <c r="C206" s="106"/>
      <c r="D206" s="106"/>
      <c r="E206" s="106"/>
      <c r="F206" s="106"/>
      <c r="G206" s="106"/>
      <c r="H206" s="106"/>
      <c r="I206" s="115"/>
      <c r="J206" s="115"/>
      <c r="K206" s="115"/>
      <c r="L206" s="115"/>
      <c r="M206" s="115"/>
      <c r="N206" s="115"/>
      <c r="O206" s="115"/>
    </row>
    <row r="207" ht="14.25" customHeight="1">
      <c r="A207" s="90"/>
      <c r="B207" s="16"/>
      <c r="C207" s="106"/>
      <c r="D207" s="106"/>
      <c r="E207" s="106"/>
      <c r="F207" s="106"/>
      <c r="G207" s="106"/>
      <c r="H207" s="106"/>
      <c r="I207" s="115"/>
      <c r="J207" s="115"/>
      <c r="K207" s="115"/>
      <c r="L207" s="115"/>
      <c r="M207" s="115"/>
      <c r="N207" s="115"/>
      <c r="O207" s="115"/>
    </row>
    <row r="208" ht="14.25" customHeight="1">
      <c r="A208" s="90"/>
      <c r="B208" s="16"/>
      <c r="C208" s="106"/>
      <c r="D208" s="106"/>
      <c r="E208" s="106"/>
      <c r="F208" s="106"/>
      <c r="G208" s="106"/>
      <c r="H208" s="106"/>
      <c r="I208" s="115"/>
      <c r="J208" s="115"/>
      <c r="K208" s="115"/>
      <c r="L208" s="115"/>
      <c r="M208" s="115"/>
      <c r="N208" s="115"/>
      <c r="O208" s="115"/>
    </row>
    <row r="209" ht="14.25" customHeight="1">
      <c r="A209" s="90"/>
      <c r="B209" s="16"/>
      <c r="C209" s="106"/>
      <c r="D209" s="106"/>
      <c r="E209" s="106"/>
      <c r="F209" s="106"/>
      <c r="G209" s="106"/>
      <c r="H209" s="106"/>
      <c r="I209" s="115"/>
      <c r="J209" s="115"/>
      <c r="K209" s="115"/>
      <c r="L209" s="115"/>
      <c r="M209" s="115"/>
      <c r="N209" s="115"/>
      <c r="O209" s="115"/>
    </row>
    <row r="210" ht="14.25" customHeight="1">
      <c r="A210" s="90"/>
      <c r="B210" s="16"/>
      <c r="C210" s="106"/>
      <c r="D210" s="106"/>
      <c r="E210" s="106"/>
      <c r="F210" s="106"/>
      <c r="G210" s="106"/>
      <c r="H210" s="106"/>
      <c r="I210" s="115"/>
      <c r="J210" s="115"/>
      <c r="K210" s="115"/>
      <c r="L210" s="115"/>
      <c r="M210" s="115"/>
      <c r="N210" s="115"/>
      <c r="O210" s="115"/>
    </row>
    <row r="211" ht="14.25" customHeight="1">
      <c r="A211" s="90"/>
      <c r="B211" s="16"/>
      <c r="C211" s="106"/>
      <c r="D211" s="106"/>
      <c r="E211" s="106"/>
      <c r="F211" s="106"/>
      <c r="G211" s="106"/>
      <c r="H211" s="106"/>
      <c r="I211" s="115"/>
      <c r="J211" s="115"/>
      <c r="K211" s="115"/>
      <c r="L211" s="115"/>
      <c r="M211" s="115"/>
      <c r="N211" s="115"/>
      <c r="O211" s="115"/>
    </row>
    <row r="212" ht="14.25" customHeight="1">
      <c r="A212" s="90"/>
      <c r="B212" s="16"/>
      <c r="C212" s="106"/>
      <c r="D212" s="106"/>
      <c r="E212" s="106"/>
      <c r="F212" s="106"/>
      <c r="G212" s="106"/>
      <c r="H212" s="106"/>
      <c r="I212" s="115"/>
      <c r="J212" s="115"/>
      <c r="K212" s="115"/>
      <c r="L212" s="115"/>
      <c r="M212" s="115"/>
      <c r="N212" s="115"/>
      <c r="O212" s="115"/>
    </row>
    <row r="213" ht="14.25" customHeight="1">
      <c r="A213" s="90"/>
      <c r="B213" s="16"/>
      <c r="C213" s="106"/>
      <c r="D213" s="106"/>
      <c r="E213" s="106"/>
      <c r="F213" s="106"/>
      <c r="G213" s="106"/>
      <c r="H213" s="106"/>
      <c r="I213" s="115"/>
      <c r="J213" s="115"/>
      <c r="K213" s="115"/>
      <c r="L213" s="115"/>
      <c r="M213" s="115"/>
      <c r="N213" s="115"/>
      <c r="O213" s="115"/>
    </row>
    <row r="214" ht="14.25" customHeight="1">
      <c r="A214" s="90"/>
      <c r="B214" s="16"/>
      <c r="C214" s="106"/>
      <c r="D214" s="106"/>
      <c r="E214" s="106"/>
      <c r="F214" s="106"/>
      <c r="G214" s="106"/>
      <c r="H214" s="106"/>
      <c r="I214" s="115"/>
      <c r="J214" s="115"/>
      <c r="K214" s="115"/>
      <c r="L214" s="115"/>
      <c r="M214" s="115"/>
      <c r="N214" s="115"/>
      <c r="O214" s="115"/>
    </row>
    <row r="215" ht="14.25" customHeight="1">
      <c r="A215" s="90"/>
      <c r="B215" s="16"/>
      <c r="C215" s="106"/>
      <c r="D215" s="106"/>
      <c r="E215" s="106"/>
      <c r="F215" s="106"/>
      <c r="G215" s="106"/>
      <c r="H215" s="106"/>
      <c r="I215" s="115"/>
      <c r="J215" s="115"/>
      <c r="K215" s="115"/>
      <c r="L215" s="115"/>
      <c r="M215" s="115"/>
      <c r="N215" s="115"/>
      <c r="O215" s="115"/>
    </row>
    <row r="216" ht="14.25" customHeight="1">
      <c r="A216" s="90"/>
      <c r="B216" s="16"/>
      <c r="C216" s="106"/>
      <c r="D216" s="106"/>
      <c r="E216" s="106"/>
      <c r="F216" s="106"/>
      <c r="G216" s="106"/>
      <c r="H216" s="106"/>
      <c r="I216" s="115"/>
      <c r="J216" s="115"/>
      <c r="K216" s="115"/>
      <c r="L216" s="115"/>
      <c r="M216" s="115"/>
      <c r="N216" s="115"/>
      <c r="O216" s="115"/>
    </row>
    <row r="217" ht="14.25" customHeight="1">
      <c r="A217" s="90"/>
      <c r="B217" s="16"/>
      <c r="C217" s="106"/>
      <c r="D217" s="106"/>
      <c r="E217" s="106"/>
      <c r="F217" s="106"/>
      <c r="G217" s="106"/>
      <c r="H217" s="106"/>
      <c r="I217" s="115"/>
      <c r="J217" s="115"/>
      <c r="K217" s="115"/>
      <c r="L217" s="115"/>
      <c r="M217" s="115"/>
      <c r="N217" s="115"/>
      <c r="O217" s="115"/>
    </row>
    <row r="218" ht="14.25" customHeight="1">
      <c r="A218" s="90"/>
      <c r="B218" s="16"/>
      <c r="C218" s="106"/>
      <c r="D218" s="106"/>
      <c r="E218" s="106"/>
      <c r="F218" s="106"/>
      <c r="G218" s="106"/>
      <c r="H218" s="106"/>
      <c r="I218" s="115"/>
      <c r="J218" s="115"/>
      <c r="K218" s="115"/>
      <c r="L218" s="115"/>
      <c r="M218" s="115"/>
      <c r="N218" s="115"/>
      <c r="O218" s="115"/>
    </row>
    <row r="219" ht="14.25" customHeight="1">
      <c r="A219" s="90"/>
      <c r="B219" s="16"/>
      <c r="C219" s="106"/>
      <c r="D219" s="106"/>
      <c r="E219" s="106"/>
      <c r="F219" s="106"/>
      <c r="G219" s="106"/>
      <c r="H219" s="106"/>
      <c r="I219" s="115"/>
      <c r="J219" s="115"/>
      <c r="K219" s="115"/>
      <c r="L219" s="115"/>
      <c r="M219" s="115"/>
      <c r="N219" s="115"/>
      <c r="O219" s="115"/>
    </row>
    <row r="220" ht="14.25" customHeight="1">
      <c r="A220" s="90"/>
      <c r="B220" s="16"/>
      <c r="C220" s="106"/>
      <c r="D220" s="106"/>
      <c r="E220" s="106"/>
      <c r="F220" s="106"/>
      <c r="G220" s="106"/>
      <c r="H220" s="106"/>
      <c r="I220" s="115"/>
      <c r="J220" s="115"/>
      <c r="K220" s="115"/>
      <c r="L220" s="115"/>
      <c r="M220" s="115"/>
      <c r="N220" s="115"/>
      <c r="O220" s="115"/>
    </row>
    <row r="221" ht="14.25" customHeight="1">
      <c r="A221" s="90"/>
      <c r="B221" s="16"/>
      <c r="C221" s="106"/>
      <c r="D221" s="106"/>
      <c r="E221" s="106"/>
      <c r="F221" s="106"/>
      <c r="G221" s="106"/>
      <c r="H221" s="106"/>
      <c r="I221" s="115"/>
      <c r="J221" s="115"/>
      <c r="K221" s="115"/>
      <c r="L221" s="115"/>
      <c r="M221" s="115"/>
      <c r="N221" s="115"/>
      <c r="O221" s="115"/>
    </row>
    <row r="222" ht="14.25" customHeight="1">
      <c r="A222" s="90"/>
      <c r="B222" s="16"/>
      <c r="C222" s="106"/>
      <c r="D222" s="106"/>
      <c r="E222" s="106"/>
      <c r="F222" s="106"/>
      <c r="G222" s="106"/>
      <c r="H222" s="106"/>
      <c r="I222" s="115"/>
      <c r="J222" s="115"/>
      <c r="K222" s="115"/>
      <c r="L222" s="115"/>
      <c r="M222" s="115"/>
      <c r="N222" s="115"/>
      <c r="O222" s="115"/>
    </row>
    <row r="223" ht="14.25" customHeight="1">
      <c r="A223" s="90"/>
      <c r="B223" s="16"/>
      <c r="C223" s="106"/>
      <c r="D223" s="106"/>
      <c r="E223" s="106"/>
      <c r="F223" s="106"/>
      <c r="G223" s="106"/>
      <c r="H223" s="106"/>
      <c r="I223" s="115"/>
      <c r="J223" s="115"/>
      <c r="K223" s="115"/>
      <c r="L223" s="115"/>
      <c r="M223" s="115"/>
      <c r="N223" s="115"/>
      <c r="O223" s="115"/>
    </row>
    <row r="224" ht="14.25" customHeight="1">
      <c r="A224" s="90"/>
      <c r="B224" s="16"/>
      <c r="C224" s="106"/>
      <c r="D224" s="106"/>
      <c r="E224" s="106"/>
      <c r="F224" s="106"/>
      <c r="G224" s="106"/>
      <c r="H224" s="106"/>
      <c r="I224" s="115"/>
      <c r="J224" s="115"/>
      <c r="K224" s="115"/>
      <c r="L224" s="115"/>
      <c r="M224" s="115"/>
      <c r="N224" s="115"/>
      <c r="O224" s="115"/>
    </row>
    <row r="225" ht="14.25" customHeight="1">
      <c r="A225" s="90"/>
      <c r="B225" s="16"/>
      <c r="C225" s="106"/>
      <c r="D225" s="106"/>
      <c r="E225" s="106"/>
      <c r="F225" s="106"/>
      <c r="G225" s="106"/>
      <c r="H225" s="106"/>
      <c r="I225" s="115"/>
      <c r="J225" s="115"/>
      <c r="K225" s="115"/>
      <c r="L225" s="115"/>
      <c r="M225" s="115"/>
      <c r="N225" s="115"/>
      <c r="O225" s="115"/>
    </row>
    <row r="226" ht="14.25" customHeight="1">
      <c r="A226" s="90"/>
      <c r="B226" s="16"/>
      <c r="C226" s="106"/>
      <c r="D226" s="106"/>
      <c r="E226" s="106"/>
      <c r="F226" s="106"/>
      <c r="G226" s="106"/>
      <c r="H226" s="106"/>
      <c r="I226" s="115"/>
      <c r="J226" s="115"/>
      <c r="K226" s="115"/>
      <c r="L226" s="115"/>
      <c r="M226" s="115"/>
      <c r="N226" s="115"/>
      <c r="O226" s="115"/>
    </row>
    <row r="227" ht="14.25" customHeight="1">
      <c r="A227" s="90"/>
      <c r="B227" s="16"/>
      <c r="C227" s="106"/>
      <c r="D227" s="106"/>
      <c r="E227" s="106"/>
      <c r="F227" s="106"/>
      <c r="G227" s="106"/>
      <c r="H227" s="106"/>
      <c r="I227" s="115"/>
      <c r="J227" s="115"/>
      <c r="K227" s="115"/>
      <c r="L227" s="115"/>
      <c r="M227" s="115"/>
      <c r="N227" s="115"/>
      <c r="O227" s="115"/>
    </row>
    <row r="228" ht="14.25" customHeight="1">
      <c r="A228" s="90"/>
      <c r="B228" s="16"/>
      <c r="C228" s="106"/>
      <c r="D228" s="106"/>
      <c r="E228" s="106"/>
      <c r="F228" s="106"/>
      <c r="G228" s="106"/>
      <c r="H228" s="106"/>
      <c r="I228" s="115"/>
      <c r="J228" s="115"/>
      <c r="K228" s="115"/>
      <c r="L228" s="115"/>
      <c r="M228" s="115"/>
      <c r="N228" s="115"/>
      <c r="O228" s="115"/>
    </row>
    <row r="229" ht="14.25" customHeight="1">
      <c r="A229" s="90"/>
      <c r="B229" s="16"/>
      <c r="C229" s="106"/>
      <c r="D229" s="106"/>
      <c r="E229" s="106"/>
      <c r="F229" s="106"/>
      <c r="G229" s="106"/>
      <c r="H229" s="106"/>
      <c r="I229" s="115"/>
      <c r="J229" s="115"/>
      <c r="K229" s="115"/>
      <c r="L229" s="115"/>
      <c r="M229" s="115"/>
      <c r="N229" s="115"/>
      <c r="O229" s="115"/>
    </row>
    <row r="230" ht="14.25" customHeight="1">
      <c r="A230" s="90"/>
      <c r="B230" s="16"/>
      <c r="C230" s="106"/>
      <c r="D230" s="106"/>
      <c r="E230" s="106"/>
      <c r="F230" s="106"/>
      <c r="G230" s="106"/>
      <c r="H230" s="106"/>
      <c r="I230" s="115"/>
      <c r="J230" s="115"/>
      <c r="K230" s="115"/>
      <c r="L230" s="115"/>
      <c r="M230" s="115"/>
      <c r="N230" s="115"/>
      <c r="O230" s="115"/>
    </row>
    <row r="231" ht="14.25" customHeight="1">
      <c r="A231" s="90"/>
      <c r="B231" s="16"/>
      <c r="C231" s="106"/>
      <c r="D231" s="106"/>
      <c r="E231" s="106"/>
      <c r="F231" s="106"/>
      <c r="G231" s="106"/>
      <c r="H231" s="106"/>
      <c r="I231" s="115"/>
      <c r="J231" s="115"/>
      <c r="K231" s="115"/>
      <c r="L231" s="115"/>
      <c r="M231" s="115"/>
      <c r="N231" s="115"/>
      <c r="O231" s="115"/>
    </row>
    <row r="232" ht="14.25" customHeight="1">
      <c r="A232" s="90"/>
      <c r="B232" s="16"/>
      <c r="C232" s="106"/>
      <c r="D232" s="106"/>
      <c r="E232" s="106"/>
      <c r="F232" s="106"/>
      <c r="G232" s="106"/>
      <c r="H232" s="106"/>
      <c r="I232" s="115"/>
      <c r="J232" s="115"/>
      <c r="K232" s="115"/>
      <c r="L232" s="115"/>
      <c r="M232" s="115"/>
      <c r="N232" s="115"/>
      <c r="O232" s="115"/>
    </row>
    <row r="233" ht="14.25" customHeight="1">
      <c r="A233" s="90"/>
      <c r="B233" s="16"/>
      <c r="C233" s="106"/>
      <c r="D233" s="106"/>
      <c r="E233" s="106"/>
      <c r="F233" s="106"/>
      <c r="G233" s="106"/>
      <c r="H233" s="106"/>
      <c r="I233" s="115"/>
      <c r="J233" s="115"/>
      <c r="K233" s="115"/>
      <c r="L233" s="115"/>
      <c r="M233" s="115"/>
      <c r="N233" s="115"/>
      <c r="O233" s="115"/>
    </row>
    <row r="234" ht="14.25" customHeight="1">
      <c r="A234" s="90"/>
      <c r="B234" s="16"/>
      <c r="C234" s="106"/>
      <c r="D234" s="106"/>
      <c r="E234" s="106"/>
      <c r="F234" s="106"/>
      <c r="G234" s="106"/>
      <c r="H234" s="106"/>
      <c r="I234" s="115"/>
      <c r="J234" s="115"/>
      <c r="K234" s="115"/>
      <c r="L234" s="115"/>
      <c r="M234" s="115"/>
      <c r="N234" s="115"/>
      <c r="O234" s="115"/>
    </row>
    <row r="235" ht="14.25" customHeight="1">
      <c r="A235" s="90"/>
      <c r="B235" s="16"/>
      <c r="C235" s="106"/>
      <c r="D235" s="106"/>
      <c r="E235" s="106"/>
      <c r="F235" s="106"/>
      <c r="G235" s="106"/>
      <c r="H235" s="106"/>
      <c r="I235" s="115"/>
      <c r="J235" s="115"/>
      <c r="K235" s="115"/>
      <c r="L235" s="115"/>
      <c r="M235" s="115"/>
      <c r="N235" s="115"/>
      <c r="O235" s="115"/>
    </row>
    <row r="236" ht="14.25" customHeight="1">
      <c r="A236" s="90"/>
      <c r="B236" s="16"/>
      <c r="C236" s="106"/>
      <c r="D236" s="106"/>
      <c r="E236" s="106"/>
      <c r="F236" s="106"/>
      <c r="G236" s="106"/>
      <c r="H236" s="106"/>
      <c r="I236" s="115"/>
      <c r="J236" s="115"/>
      <c r="K236" s="115"/>
      <c r="L236" s="115"/>
      <c r="M236" s="115"/>
      <c r="N236" s="115"/>
      <c r="O236" s="115"/>
    </row>
    <row r="237" ht="14.25" customHeight="1">
      <c r="A237" s="90"/>
      <c r="B237" s="16"/>
      <c r="C237" s="106"/>
      <c r="D237" s="106"/>
      <c r="E237" s="106"/>
      <c r="F237" s="106"/>
      <c r="G237" s="106"/>
      <c r="H237" s="106"/>
      <c r="I237" s="115"/>
      <c r="J237" s="115"/>
      <c r="K237" s="115"/>
      <c r="L237" s="115"/>
      <c r="M237" s="115"/>
      <c r="N237" s="115"/>
      <c r="O237" s="115"/>
    </row>
    <row r="238" ht="14.25" customHeight="1">
      <c r="A238" s="90"/>
      <c r="B238" s="16"/>
      <c r="C238" s="106"/>
      <c r="D238" s="106"/>
      <c r="E238" s="106"/>
      <c r="F238" s="106"/>
      <c r="G238" s="106"/>
      <c r="H238" s="106"/>
      <c r="I238" s="115"/>
      <c r="J238" s="115"/>
      <c r="K238" s="115"/>
      <c r="L238" s="115"/>
      <c r="M238" s="115"/>
      <c r="N238" s="115"/>
      <c r="O238" s="115"/>
    </row>
    <row r="239" ht="14.25" customHeight="1">
      <c r="A239" s="90"/>
      <c r="B239" s="16"/>
      <c r="C239" s="106"/>
      <c r="D239" s="106"/>
      <c r="E239" s="106"/>
      <c r="F239" s="106"/>
      <c r="G239" s="106"/>
      <c r="H239" s="106"/>
      <c r="I239" s="115"/>
      <c r="J239" s="115"/>
      <c r="K239" s="115"/>
      <c r="L239" s="115"/>
      <c r="M239" s="115"/>
      <c r="N239" s="115"/>
      <c r="O239" s="115"/>
    </row>
    <row r="240" ht="14.25" customHeight="1">
      <c r="A240" s="90"/>
      <c r="B240" s="16"/>
      <c r="C240" s="106"/>
      <c r="D240" s="106"/>
      <c r="E240" s="106"/>
      <c r="F240" s="106"/>
      <c r="G240" s="106"/>
      <c r="H240" s="106"/>
      <c r="I240" s="115"/>
      <c r="J240" s="115"/>
      <c r="K240" s="115"/>
      <c r="L240" s="115"/>
      <c r="M240" s="115"/>
      <c r="N240" s="115"/>
      <c r="O240" s="115"/>
    </row>
    <row r="241" ht="14.25" customHeight="1">
      <c r="A241" s="90"/>
      <c r="B241" s="16"/>
      <c r="C241" s="106"/>
      <c r="D241" s="106"/>
      <c r="E241" s="106"/>
      <c r="F241" s="106"/>
      <c r="G241" s="106"/>
      <c r="H241" s="106"/>
      <c r="I241" s="115"/>
      <c r="J241" s="115"/>
      <c r="K241" s="115"/>
      <c r="L241" s="115"/>
      <c r="M241" s="115"/>
      <c r="N241" s="115"/>
      <c r="O241" s="115"/>
    </row>
    <row r="242" ht="14.25" customHeight="1">
      <c r="A242" s="90"/>
      <c r="B242" s="16"/>
      <c r="C242" s="106"/>
      <c r="D242" s="106"/>
      <c r="E242" s="106"/>
      <c r="F242" s="106"/>
      <c r="G242" s="106"/>
      <c r="H242" s="106"/>
      <c r="I242" s="115"/>
      <c r="J242" s="115"/>
      <c r="K242" s="115"/>
      <c r="L242" s="115"/>
      <c r="M242" s="115"/>
      <c r="N242" s="115"/>
      <c r="O242" s="115"/>
    </row>
    <row r="243" ht="14.25" customHeight="1">
      <c r="A243" s="90"/>
      <c r="B243" s="16"/>
      <c r="C243" s="106"/>
      <c r="D243" s="106"/>
      <c r="E243" s="106"/>
      <c r="F243" s="106"/>
      <c r="G243" s="106"/>
      <c r="H243" s="106"/>
      <c r="I243" s="115"/>
      <c r="J243" s="115"/>
      <c r="K243" s="115"/>
      <c r="L243" s="115"/>
      <c r="M243" s="115"/>
      <c r="N243" s="115"/>
      <c r="O243" s="115"/>
    </row>
    <row r="244" ht="14.25" customHeight="1">
      <c r="A244" s="90"/>
      <c r="B244" s="16"/>
      <c r="C244" s="106"/>
      <c r="D244" s="106"/>
      <c r="E244" s="106"/>
      <c r="F244" s="106"/>
      <c r="G244" s="106"/>
      <c r="H244" s="106"/>
      <c r="I244" s="115"/>
      <c r="J244" s="115"/>
      <c r="K244" s="115"/>
      <c r="L244" s="115"/>
      <c r="M244" s="115"/>
      <c r="N244" s="115"/>
      <c r="O244" s="115"/>
    </row>
    <row r="245" ht="14.25" customHeight="1">
      <c r="A245" s="90"/>
      <c r="B245" s="16"/>
      <c r="C245" s="106"/>
      <c r="D245" s="106"/>
      <c r="E245" s="106"/>
      <c r="F245" s="106"/>
      <c r="G245" s="106"/>
      <c r="H245" s="106"/>
      <c r="I245" s="115"/>
      <c r="J245" s="115"/>
      <c r="K245" s="115"/>
      <c r="L245" s="115"/>
      <c r="M245" s="115"/>
      <c r="N245" s="115"/>
      <c r="O245" s="115"/>
    </row>
    <row r="246" ht="14.25" customHeight="1">
      <c r="A246" s="90"/>
      <c r="B246" s="16"/>
      <c r="C246" s="106"/>
      <c r="D246" s="106"/>
      <c r="E246" s="106"/>
      <c r="F246" s="106"/>
      <c r="G246" s="106"/>
      <c r="H246" s="106"/>
      <c r="I246" s="115"/>
      <c r="J246" s="115"/>
      <c r="K246" s="115"/>
      <c r="L246" s="115"/>
      <c r="M246" s="115"/>
      <c r="N246" s="115"/>
      <c r="O246" s="115"/>
    </row>
    <row r="247" ht="14.25" customHeight="1">
      <c r="A247" s="90"/>
      <c r="B247" s="16"/>
      <c r="C247" s="106"/>
      <c r="D247" s="106"/>
      <c r="E247" s="106"/>
      <c r="F247" s="106"/>
      <c r="G247" s="106"/>
      <c r="H247" s="106"/>
      <c r="I247" s="115"/>
      <c r="J247" s="115"/>
      <c r="K247" s="115"/>
      <c r="L247" s="115"/>
      <c r="M247" s="115"/>
      <c r="N247" s="115"/>
      <c r="O247" s="115"/>
    </row>
    <row r="248" ht="14.25" customHeight="1">
      <c r="A248" s="90"/>
      <c r="B248" s="16"/>
      <c r="C248" s="106"/>
      <c r="D248" s="106"/>
      <c r="E248" s="106"/>
      <c r="F248" s="106"/>
      <c r="G248" s="106"/>
      <c r="H248" s="106"/>
      <c r="I248" s="115"/>
      <c r="J248" s="115"/>
      <c r="K248" s="115"/>
      <c r="L248" s="115"/>
      <c r="M248" s="115"/>
      <c r="N248" s="115"/>
      <c r="O248" s="115"/>
    </row>
    <row r="249" ht="14.25" customHeight="1">
      <c r="A249" s="90"/>
      <c r="B249" s="16"/>
      <c r="C249" s="106"/>
      <c r="D249" s="106"/>
      <c r="E249" s="106"/>
      <c r="F249" s="106"/>
      <c r="G249" s="106"/>
      <c r="H249" s="106"/>
      <c r="I249" s="115"/>
      <c r="J249" s="115"/>
      <c r="K249" s="115"/>
      <c r="L249" s="115"/>
      <c r="M249" s="115"/>
      <c r="N249" s="115"/>
      <c r="O249" s="115"/>
    </row>
    <row r="250" ht="14.25" customHeight="1">
      <c r="A250" s="90"/>
      <c r="B250" s="16"/>
      <c r="C250" s="106"/>
      <c r="D250" s="106"/>
      <c r="E250" s="106"/>
      <c r="F250" s="106"/>
      <c r="G250" s="106"/>
      <c r="H250" s="106"/>
      <c r="I250" s="115"/>
      <c r="J250" s="115"/>
      <c r="K250" s="115"/>
      <c r="L250" s="115"/>
      <c r="M250" s="115"/>
      <c r="N250" s="115"/>
      <c r="O250" s="115"/>
    </row>
    <row r="251" ht="14.25" customHeight="1">
      <c r="A251" s="90"/>
      <c r="B251" s="16"/>
      <c r="C251" s="106"/>
      <c r="D251" s="106"/>
      <c r="E251" s="106"/>
      <c r="F251" s="106"/>
      <c r="G251" s="106"/>
      <c r="H251" s="106"/>
      <c r="I251" s="115"/>
      <c r="J251" s="115"/>
      <c r="K251" s="115"/>
      <c r="L251" s="115"/>
      <c r="M251" s="115"/>
      <c r="N251" s="115"/>
      <c r="O251" s="115"/>
    </row>
    <row r="252" ht="14.25" customHeight="1">
      <c r="A252" s="90"/>
      <c r="B252" s="16"/>
      <c r="C252" s="106"/>
      <c r="D252" s="106"/>
      <c r="E252" s="106"/>
      <c r="F252" s="106"/>
      <c r="G252" s="106"/>
      <c r="H252" s="106"/>
      <c r="I252" s="115"/>
      <c r="J252" s="115"/>
      <c r="K252" s="115"/>
      <c r="L252" s="115"/>
      <c r="M252" s="115"/>
      <c r="N252" s="115"/>
      <c r="O252" s="115"/>
    </row>
    <row r="253" ht="14.25" customHeight="1">
      <c r="A253" s="90"/>
      <c r="B253" s="16"/>
      <c r="C253" s="106"/>
      <c r="D253" s="106"/>
      <c r="E253" s="106"/>
      <c r="F253" s="106"/>
      <c r="G253" s="106"/>
      <c r="H253" s="106"/>
      <c r="I253" s="115"/>
      <c r="J253" s="115"/>
      <c r="K253" s="115"/>
      <c r="L253" s="115"/>
      <c r="M253" s="115"/>
      <c r="N253" s="115"/>
      <c r="O253" s="115"/>
    </row>
    <row r="254" ht="14.25" customHeight="1">
      <c r="A254" s="90"/>
      <c r="B254" s="16"/>
      <c r="C254" s="106"/>
      <c r="D254" s="106"/>
      <c r="E254" s="106"/>
      <c r="F254" s="106"/>
      <c r="G254" s="106"/>
      <c r="H254" s="106"/>
      <c r="I254" s="115"/>
      <c r="J254" s="115"/>
      <c r="K254" s="115"/>
      <c r="L254" s="115"/>
      <c r="M254" s="115"/>
      <c r="N254" s="115"/>
      <c r="O254" s="115"/>
    </row>
    <row r="255" ht="14.25" customHeight="1">
      <c r="A255" s="90"/>
      <c r="B255" s="16"/>
      <c r="C255" s="106"/>
      <c r="D255" s="106"/>
      <c r="E255" s="106"/>
      <c r="F255" s="106"/>
      <c r="G255" s="106"/>
      <c r="H255" s="106"/>
      <c r="I255" s="115"/>
      <c r="J255" s="115"/>
      <c r="K255" s="115"/>
      <c r="L255" s="115"/>
      <c r="M255" s="115"/>
      <c r="N255" s="115"/>
      <c r="O255" s="115"/>
    </row>
    <row r="256" ht="14.25" customHeight="1">
      <c r="A256" s="90"/>
      <c r="B256" s="16"/>
      <c r="C256" s="106"/>
      <c r="D256" s="106"/>
      <c r="E256" s="106"/>
      <c r="F256" s="106"/>
      <c r="G256" s="106"/>
      <c r="H256" s="106"/>
      <c r="I256" s="115"/>
      <c r="J256" s="115"/>
      <c r="K256" s="115"/>
      <c r="L256" s="115"/>
      <c r="M256" s="115"/>
      <c r="N256" s="115"/>
      <c r="O256" s="115"/>
    </row>
    <row r="257" ht="14.25" customHeight="1">
      <c r="A257" s="90"/>
      <c r="B257" s="16"/>
      <c r="C257" s="106"/>
      <c r="D257" s="106"/>
      <c r="E257" s="106"/>
      <c r="F257" s="106"/>
      <c r="G257" s="106"/>
      <c r="H257" s="106"/>
      <c r="I257" s="115"/>
      <c r="J257" s="115"/>
      <c r="K257" s="115"/>
      <c r="L257" s="115"/>
      <c r="M257" s="115"/>
      <c r="N257" s="115"/>
      <c r="O257" s="115"/>
    </row>
    <row r="258" ht="14.25" customHeight="1">
      <c r="A258" s="90"/>
      <c r="B258" s="16"/>
      <c r="C258" s="106"/>
      <c r="D258" s="106"/>
      <c r="E258" s="106"/>
      <c r="F258" s="106"/>
      <c r="G258" s="106"/>
      <c r="H258" s="106"/>
      <c r="I258" s="115"/>
      <c r="J258" s="115"/>
      <c r="K258" s="115"/>
      <c r="L258" s="115"/>
      <c r="M258" s="115"/>
      <c r="N258" s="115"/>
      <c r="O258" s="115"/>
    </row>
    <row r="259" ht="14.25" customHeight="1">
      <c r="A259" s="90"/>
      <c r="B259" s="16"/>
      <c r="C259" s="106"/>
      <c r="D259" s="106"/>
      <c r="E259" s="106"/>
      <c r="F259" s="106"/>
      <c r="G259" s="106"/>
      <c r="H259" s="106"/>
      <c r="I259" s="115"/>
      <c r="J259" s="115"/>
      <c r="K259" s="115"/>
      <c r="L259" s="115"/>
      <c r="M259" s="115"/>
      <c r="N259" s="115"/>
      <c r="O259" s="115"/>
    </row>
    <row r="260" ht="14.25" customHeight="1">
      <c r="A260" s="90"/>
      <c r="B260" s="16"/>
      <c r="C260" s="106"/>
      <c r="D260" s="106"/>
      <c r="E260" s="106"/>
      <c r="F260" s="106"/>
      <c r="G260" s="106"/>
      <c r="H260" s="106"/>
      <c r="I260" s="115"/>
      <c r="J260" s="115"/>
      <c r="K260" s="115"/>
      <c r="L260" s="115"/>
      <c r="M260" s="115"/>
      <c r="N260" s="115"/>
      <c r="O260" s="115"/>
    </row>
    <row r="261" ht="14.25" customHeight="1">
      <c r="A261" s="90"/>
      <c r="B261" s="16"/>
      <c r="C261" s="106"/>
      <c r="D261" s="106"/>
      <c r="E261" s="106"/>
      <c r="F261" s="106"/>
      <c r="G261" s="106"/>
      <c r="H261" s="106"/>
      <c r="I261" s="115"/>
      <c r="J261" s="115"/>
      <c r="K261" s="115"/>
      <c r="L261" s="115"/>
      <c r="M261" s="115"/>
      <c r="N261" s="115"/>
      <c r="O261" s="115"/>
    </row>
    <row r="262" ht="14.25" customHeight="1">
      <c r="A262" s="90"/>
      <c r="B262" s="16"/>
      <c r="C262" s="106"/>
      <c r="D262" s="106"/>
      <c r="E262" s="106"/>
      <c r="F262" s="106"/>
      <c r="G262" s="106"/>
      <c r="H262" s="106"/>
      <c r="I262" s="115"/>
      <c r="J262" s="115"/>
      <c r="K262" s="115"/>
      <c r="L262" s="115"/>
      <c r="M262" s="115"/>
      <c r="N262" s="115"/>
      <c r="O262" s="115"/>
    </row>
    <row r="263" ht="14.25" customHeight="1">
      <c r="A263" s="90"/>
      <c r="B263" s="16"/>
      <c r="C263" s="106"/>
      <c r="D263" s="106"/>
      <c r="E263" s="106"/>
      <c r="F263" s="106"/>
      <c r="G263" s="106"/>
      <c r="H263" s="106"/>
      <c r="I263" s="115"/>
      <c r="J263" s="115"/>
      <c r="K263" s="115"/>
      <c r="L263" s="115"/>
      <c r="M263" s="115"/>
      <c r="N263" s="115"/>
      <c r="O263" s="115"/>
    </row>
    <row r="264" ht="14.25" customHeight="1">
      <c r="A264" s="90"/>
      <c r="B264" s="16"/>
      <c r="C264" s="106"/>
      <c r="D264" s="106"/>
      <c r="E264" s="106"/>
      <c r="F264" s="106"/>
      <c r="G264" s="106"/>
      <c r="H264" s="106"/>
      <c r="I264" s="115"/>
      <c r="J264" s="115"/>
      <c r="K264" s="115"/>
      <c r="L264" s="115"/>
      <c r="M264" s="115"/>
      <c r="N264" s="115"/>
      <c r="O264" s="115"/>
    </row>
    <row r="265" ht="14.25" customHeight="1">
      <c r="A265" s="90"/>
      <c r="B265" s="16"/>
      <c r="C265" s="106"/>
      <c r="D265" s="106"/>
      <c r="E265" s="106"/>
      <c r="F265" s="106"/>
      <c r="G265" s="106"/>
      <c r="H265" s="106"/>
      <c r="I265" s="115"/>
      <c r="J265" s="115"/>
      <c r="K265" s="115"/>
      <c r="L265" s="115"/>
      <c r="M265" s="115"/>
      <c r="N265" s="115"/>
      <c r="O265" s="115"/>
    </row>
    <row r="266" ht="14.25" customHeight="1">
      <c r="A266" s="90"/>
      <c r="B266" s="16"/>
      <c r="C266" s="106"/>
      <c r="D266" s="106"/>
      <c r="E266" s="106"/>
      <c r="F266" s="106"/>
      <c r="G266" s="106"/>
      <c r="H266" s="106"/>
      <c r="I266" s="115"/>
      <c r="J266" s="115"/>
      <c r="K266" s="115"/>
      <c r="L266" s="115"/>
      <c r="M266" s="115"/>
      <c r="N266" s="115"/>
      <c r="O266" s="115"/>
    </row>
    <row r="267" ht="14.25" customHeight="1">
      <c r="A267" s="90"/>
      <c r="B267" s="16"/>
      <c r="C267" s="106"/>
      <c r="D267" s="106"/>
      <c r="E267" s="106"/>
      <c r="F267" s="106"/>
      <c r="G267" s="106"/>
      <c r="H267" s="106"/>
      <c r="I267" s="115"/>
      <c r="J267" s="115"/>
      <c r="K267" s="115"/>
      <c r="L267" s="115"/>
      <c r="M267" s="115"/>
      <c r="N267" s="115"/>
      <c r="O267" s="115"/>
    </row>
    <row r="268" ht="14.25" customHeight="1">
      <c r="A268" s="90"/>
      <c r="B268" s="16"/>
      <c r="C268" s="106"/>
      <c r="D268" s="106"/>
      <c r="E268" s="106"/>
      <c r="F268" s="106"/>
      <c r="G268" s="106"/>
      <c r="H268" s="106"/>
      <c r="I268" s="115"/>
      <c r="J268" s="115"/>
      <c r="K268" s="115"/>
      <c r="L268" s="115"/>
      <c r="M268" s="115"/>
      <c r="N268" s="115"/>
      <c r="O268" s="115"/>
    </row>
    <row r="269" ht="14.25" customHeight="1">
      <c r="A269" s="90"/>
      <c r="B269" s="16"/>
      <c r="C269" s="106"/>
      <c r="D269" s="106"/>
      <c r="E269" s="106"/>
      <c r="F269" s="106"/>
      <c r="G269" s="106"/>
      <c r="H269" s="106"/>
      <c r="I269" s="115"/>
      <c r="J269" s="115"/>
      <c r="K269" s="115"/>
      <c r="L269" s="115"/>
      <c r="M269" s="115"/>
      <c r="N269" s="115"/>
      <c r="O269" s="115"/>
    </row>
    <row r="270" ht="14.25" customHeight="1">
      <c r="A270" s="90"/>
      <c r="B270" s="16"/>
      <c r="C270" s="106"/>
      <c r="D270" s="106"/>
      <c r="E270" s="106"/>
      <c r="F270" s="106"/>
      <c r="G270" s="106"/>
      <c r="H270" s="106"/>
      <c r="I270" s="115"/>
      <c r="J270" s="115"/>
      <c r="K270" s="115"/>
      <c r="L270" s="115"/>
      <c r="M270" s="115"/>
      <c r="N270" s="115"/>
      <c r="O270" s="115"/>
    </row>
    <row r="271" ht="14.25" customHeight="1">
      <c r="A271" s="90"/>
      <c r="B271" s="16"/>
      <c r="C271" s="106"/>
      <c r="D271" s="106"/>
      <c r="E271" s="106"/>
      <c r="F271" s="106"/>
      <c r="G271" s="106"/>
      <c r="H271" s="106"/>
      <c r="I271" s="115"/>
      <c r="J271" s="115"/>
      <c r="K271" s="115"/>
      <c r="L271" s="115"/>
      <c r="M271" s="115"/>
      <c r="N271" s="115"/>
      <c r="O271" s="115"/>
    </row>
    <row r="272" ht="14.25" customHeight="1">
      <c r="A272" s="90"/>
      <c r="B272" s="16"/>
      <c r="C272" s="106"/>
      <c r="D272" s="106"/>
      <c r="E272" s="106"/>
      <c r="F272" s="106"/>
      <c r="G272" s="106"/>
      <c r="H272" s="106"/>
      <c r="I272" s="115"/>
      <c r="J272" s="115"/>
      <c r="K272" s="115"/>
      <c r="L272" s="115"/>
      <c r="M272" s="115"/>
      <c r="N272" s="115"/>
      <c r="O272" s="115"/>
    </row>
    <row r="273" ht="14.25" customHeight="1">
      <c r="A273" s="90"/>
      <c r="B273" s="16"/>
      <c r="C273" s="106"/>
      <c r="D273" s="106"/>
      <c r="E273" s="106"/>
      <c r="F273" s="106"/>
      <c r="G273" s="106"/>
      <c r="H273" s="106"/>
      <c r="I273" s="115"/>
      <c r="J273" s="115"/>
      <c r="K273" s="115"/>
      <c r="L273" s="115"/>
      <c r="M273" s="115"/>
      <c r="N273" s="115"/>
      <c r="O273" s="115"/>
    </row>
    <row r="274" ht="14.25" customHeight="1">
      <c r="A274" s="90"/>
      <c r="B274" s="16"/>
      <c r="C274" s="106"/>
      <c r="D274" s="106"/>
      <c r="E274" s="106"/>
      <c r="F274" s="106"/>
      <c r="G274" s="106"/>
      <c r="H274" s="106"/>
      <c r="I274" s="115"/>
      <c r="J274" s="115"/>
      <c r="K274" s="115"/>
      <c r="L274" s="115"/>
      <c r="M274" s="115"/>
      <c r="N274" s="115"/>
      <c r="O274" s="115"/>
    </row>
    <row r="275" ht="14.25" customHeight="1">
      <c r="A275" s="90"/>
      <c r="B275" s="16"/>
      <c r="C275" s="106"/>
      <c r="D275" s="106"/>
      <c r="E275" s="106"/>
      <c r="F275" s="106"/>
      <c r="G275" s="106"/>
      <c r="H275" s="106"/>
      <c r="I275" s="115"/>
      <c r="J275" s="115"/>
      <c r="K275" s="115"/>
      <c r="L275" s="115"/>
      <c r="M275" s="115"/>
      <c r="N275" s="115"/>
      <c r="O275" s="115"/>
    </row>
    <row r="276" ht="14.25" customHeight="1">
      <c r="A276" s="90"/>
      <c r="B276" s="16"/>
      <c r="C276" s="106"/>
      <c r="D276" s="106"/>
      <c r="E276" s="106"/>
      <c r="F276" s="106"/>
      <c r="G276" s="106"/>
      <c r="H276" s="106"/>
      <c r="I276" s="115"/>
      <c r="J276" s="115"/>
      <c r="K276" s="115"/>
      <c r="L276" s="115"/>
      <c r="M276" s="115"/>
      <c r="N276" s="115"/>
      <c r="O276" s="115"/>
    </row>
    <row r="277" ht="14.25" customHeight="1">
      <c r="A277" s="90"/>
      <c r="B277" s="16"/>
      <c r="C277" s="106"/>
      <c r="D277" s="106"/>
      <c r="E277" s="106"/>
      <c r="F277" s="106"/>
      <c r="G277" s="106"/>
      <c r="H277" s="106"/>
      <c r="I277" s="115"/>
      <c r="J277" s="115"/>
      <c r="K277" s="115"/>
      <c r="L277" s="115"/>
      <c r="M277" s="115"/>
      <c r="N277" s="115"/>
      <c r="O277" s="115"/>
    </row>
    <row r="278" ht="14.25" customHeight="1">
      <c r="A278" s="90"/>
      <c r="B278" s="16"/>
      <c r="C278" s="106"/>
      <c r="D278" s="106"/>
      <c r="E278" s="106"/>
      <c r="F278" s="106"/>
      <c r="G278" s="106"/>
      <c r="H278" s="106"/>
      <c r="I278" s="115"/>
      <c r="J278" s="115"/>
      <c r="K278" s="115"/>
      <c r="L278" s="115"/>
      <c r="M278" s="115"/>
      <c r="N278" s="115"/>
      <c r="O278" s="115"/>
    </row>
    <row r="279" ht="14.25" customHeight="1">
      <c r="A279" s="90"/>
      <c r="B279" s="16"/>
      <c r="C279" s="106"/>
      <c r="D279" s="106"/>
      <c r="E279" s="106"/>
      <c r="F279" s="106"/>
      <c r="G279" s="106"/>
      <c r="H279" s="106"/>
      <c r="I279" s="115"/>
      <c r="J279" s="115"/>
      <c r="K279" s="115"/>
      <c r="L279" s="115"/>
      <c r="M279" s="115"/>
      <c r="N279" s="115"/>
      <c r="O279" s="115"/>
    </row>
    <row r="280" ht="14.25" customHeight="1">
      <c r="A280" s="90"/>
      <c r="B280" s="16"/>
      <c r="C280" s="106"/>
      <c r="D280" s="106"/>
      <c r="E280" s="106"/>
      <c r="F280" s="106"/>
      <c r="G280" s="106"/>
      <c r="H280" s="106"/>
      <c r="I280" s="115"/>
      <c r="J280" s="115"/>
      <c r="K280" s="115"/>
      <c r="L280" s="115"/>
      <c r="M280" s="115"/>
      <c r="N280" s="115"/>
      <c r="O280" s="115"/>
    </row>
    <row r="281" ht="14.25" customHeight="1">
      <c r="A281" s="90"/>
      <c r="B281" s="16"/>
      <c r="C281" s="106"/>
      <c r="D281" s="106"/>
      <c r="E281" s="106"/>
      <c r="F281" s="106"/>
      <c r="G281" s="106"/>
      <c r="H281" s="106"/>
      <c r="I281" s="115"/>
      <c r="J281" s="115"/>
      <c r="K281" s="115"/>
      <c r="L281" s="115"/>
      <c r="M281" s="115"/>
      <c r="N281" s="115"/>
      <c r="O281" s="115"/>
    </row>
    <row r="282" ht="14.25" customHeight="1">
      <c r="A282" s="90"/>
      <c r="B282" s="16"/>
      <c r="C282" s="106"/>
      <c r="D282" s="106"/>
      <c r="E282" s="106"/>
      <c r="F282" s="106"/>
      <c r="G282" s="106"/>
      <c r="H282" s="106"/>
      <c r="I282" s="115"/>
      <c r="J282" s="115"/>
      <c r="K282" s="115"/>
      <c r="L282" s="115"/>
      <c r="M282" s="115"/>
      <c r="N282" s="115"/>
      <c r="O282" s="115"/>
    </row>
    <row r="283" ht="14.25" customHeight="1">
      <c r="A283" s="90"/>
      <c r="B283" s="16"/>
      <c r="C283" s="106"/>
      <c r="D283" s="106"/>
      <c r="E283" s="106"/>
      <c r="F283" s="106"/>
      <c r="G283" s="106"/>
      <c r="H283" s="106"/>
      <c r="I283" s="115"/>
      <c r="J283" s="115"/>
      <c r="K283" s="115"/>
      <c r="L283" s="115"/>
      <c r="M283" s="115"/>
      <c r="N283" s="115"/>
      <c r="O283" s="115"/>
    </row>
    <row r="284" ht="14.25" customHeight="1">
      <c r="A284" s="90"/>
      <c r="B284" s="16"/>
      <c r="C284" s="106"/>
      <c r="D284" s="106"/>
      <c r="E284" s="106"/>
      <c r="F284" s="106"/>
      <c r="G284" s="106"/>
      <c r="H284" s="106"/>
      <c r="I284" s="115"/>
      <c r="J284" s="115"/>
      <c r="K284" s="115"/>
      <c r="L284" s="115"/>
      <c r="M284" s="115"/>
      <c r="N284" s="115"/>
      <c r="O284" s="115"/>
    </row>
    <row r="285" ht="14.25" customHeight="1">
      <c r="A285" s="90"/>
      <c r="B285" s="16"/>
      <c r="C285" s="106"/>
      <c r="D285" s="106"/>
      <c r="E285" s="106"/>
      <c r="F285" s="106"/>
      <c r="G285" s="106"/>
      <c r="H285" s="106"/>
      <c r="I285" s="115"/>
      <c r="J285" s="115"/>
      <c r="K285" s="115"/>
      <c r="L285" s="115"/>
      <c r="M285" s="115"/>
      <c r="N285" s="115"/>
      <c r="O285" s="115"/>
    </row>
    <row r="286" ht="14.25" customHeight="1">
      <c r="A286" s="90"/>
      <c r="B286" s="16"/>
      <c r="C286" s="106"/>
      <c r="D286" s="106"/>
      <c r="E286" s="106"/>
      <c r="F286" s="106"/>
      <c r="G286" s="106"/>
      <c r="H286" s="106"/>
      <c r="I286" s="115"/>
      <c r="J286" s="115"/>
      <c r="K286" s="115"/>
      <c r="L286" s="115"/>
      <c r="M286" s="115"/>
      <c r="N286" s="115"/>
      <c r="O286" s="115"/>
    </row>
    <row r="287" ht="14.25" customHeight="1">
      <c r="A287" s="90"/>
      <c r="B287" s="16"/>
      <c r="C287" s="106"/>
      <c r="D287" s="106"/>
      <c r="E287" s="106"/>
      <c r="F287" s="106"/>
      <c r="G287" s="106"/>
      <c r="H287" s="106"/>
      <c r="I287" s="115"/>
      <c r="J287" s="115"/>
      <c r="K287" s="115"/>
      <c r="L287" s="115"/>
      <c r="M287" s="115"/>
      <c r="N287" s="115"/>
      <c r="O287" s="115"/>
    </row>
    <row r="288" ht="14.25" customHeight="1">
      <c r="A288" s="90"/>
      <c r="B288" s="16"/>
      <c r="C288" s="106"/>
      <c r="D288" s="106"/>
      <c r="E288" s="106"/>
      <c r="F288" s="106"/>
      <c r="G288" s="106"/>
      <c r="H288" s="106"/>
      <c r="I288" s="115"/>
      <c r="J288" s="115"/>
      <c r="K288" s="115"/>
      <c r="L288" s="115"/>
      <c r="M288" s="115"/>
      <c r="N288" s="115"/>
      <c r="O288" s="115"/>
    </row>
    <row r="289" ht="14.25" customHeight="1">
      <c r="A289" s="90"/>
      <c r="B289" s="16"/>
      <c r="C289" s="106"/>
      <c r="D289" s="106"/>
      <c r="E289" s="106"/>
      <c r="F289" s="106"/>
      <c r="G289" s="106"/>
      <c r="H289" s="106"/>
      <c r="I289" s="115"/>
      <c r="J289" s="115"/>
      <c r="K289" s="115"/>
      <c r="L289" s="115"/>
      <c r="M289" s="115"/>
      <c r="N289" s="115"/>
      <c r="O289" s="115"/>
    </row>
    <row r="290" ht="14.25" customHeight="1">
      <c r="A290" s="90"/>
      <c r="B290" s="16"/>
      <c r="C290" s="106"/>
      <c r="D290" s="106"/>
      <c r="E290" s="106"/>
      <c r="F290" s="106"/>
      <c r="G290" s="106"/>
      <c r="H290" s="106"/>
      <c r="I290" s="115"/>
      <c r="J290" s="115"/>
      <c r="K290" s="115"/>
      <c r="L290" s="115"/>
      <c r="M290" s="115"/>
      <c r="N290" s="115"/>
      <c r="O290" s="115"/>
    </row>
    <row r="291" ht="14.25" customHeight="1">
      <c r="A291" s="90"/>
      <c r="B291" s="16"/>
      <c r="C291" s="106"/>
      <c r="D291" s="106"/>
      <c r="E291" s="106"/>
      <c r="F291" s="106"/>
      <c r="G291" s="106"/>
      <c r="H291" s="106"/>
      <c r="I291" s="115"/>
      <c r="J291" s="115"/>
      <c r="K291" s="115"/>
      <c r="L291" s="115"/>
      <c r="M291" s="115"/>
      <c r="N291" s="115"/>
      <c r="O291" s="115"/>
    </row>
    <row r="292" ht="14.25" customHeight="1">
      <c r="A292" s="90"/>
      <c r="B292" s="16"/>
      <c r="C292" s="106"/>
      <c r="D292" s="106"/>
      <c r="E292" s="106"/>
      <c r="F292" s="106"/>
      <c r="G292" s="106"/>
      <c r="H292" s="106"/>
      <c r="I292" s="115"/>
      <c r="J292" s="115"/>
      <c r="K292" s="115"/>
      <c r="L292" s="115"/>
      <c r="M292" s="115"/>
      <c r="N292" s="115"/>
      <c r="O292" s="115"/>
    </row>
    <row r="293" ht="14.25" customHeight="1">
      <c r="A293" s="90"/>
      <c r="B293" s="16"/>
      <c r="C293" s="106"/>
      <c r="D293" s="106"/>
      <c r="E293" s="106"/>
      <c r="F293" s="106"/>
      <c r="G293" s="106"/>
      <c r="H293" s="106"/>
      <c r="I293" s="115"/>
      <c r="J293" s="115"/>
      <c r="K293" s="115"/>
      <c r="L293" s="115"/>
      <c r="M293" s="115"/>
      <c r="N293" s="115"/>
      <c r="O293" s="115"/>
    </row>
    <row r="294" ht="14.25" customHeight="1">
      <c r="A294" s="90"/>
      <c r="B294" s="16"/>
      <c r="C294" s="106"/>
      <c r="D294" s="106"/>
      <c r="E294" s="106"/>
      <c r="F294" s="106"/>
      <c r="G294" s="106"/>
      <c r="H294" s="106"/>
      <c r="I294" s="115"/>
      <c r="J294" s="115"/>
      <c r="K294" s="115"/>
      <c r="L294" s="115"/>
      <c r="M294" s="115"/>
      <c r="N294" s="115"/>
      <c r="O294" s="115"/>
    </row>
    <row r="295" ht="14.25" customHeight="1">
      <c r="A295" s="90"/>
      <c r="B295" s="16"/>
      <c r="C295" s="106"/>
      <c r="D295" s="106"/>
      <c r="E295" s="106"/>
      <c r="F295" s="106"/>
      <c r="G295" s="106"/>
      <c r="H295" s="106"/>
      <c r="I295" s="115"/>
      <c r="J295" s="115"/>
      <c r="K295" s="115"/>
      <c r="L295" s="115"/>
      <c r="M295" s="115"/>
      <c r="N295" s="115"/>
      <c r="O295" s="115"/>
    </row>
    <row r="296" ht="14.25" customHeight="1">
      <c r="A296" s="90"/>
      <c r="B296" s="16"/>
      <c r="C296" s="106"/>
      <c r="D296" s="106"/>
      <c r="E296" s="106"/>
      <c r="F296" s="106"/>
      <c r="G296" s="106"/>
      <c r="H296" s="106"/>
      <c r="I296" s="115"/>
      <c r="J296" s="115"/>
      <c r="K296" s="115"/>
      <c r="L296" s="115"/>
      <c r="M296" s="115"/>
      <c r="N296" s="115"/>
      <c r="O296" s="115"/>
    </row>
    <row r="297" ht="14.25" customHeight="1">
      <c r="A297" s="90"/>
      <c r="B297" s="16"/>
      <c r="C297" s="106"/>
      <c r="D297" s="106"/>
      <c r="E297" s="106"/>
      <c r="F297" s="106"/>
      <c r="G297" s="106"/>
      <c r="H297" s="106"/>
      <c r="I297" s="115"/>
      <c r="J297" s="115"/>
      <c r="K297" s="115"/>
      <c r="L297" s="115"/>
      <c r="M297" s="115"/>
      <c r="N297" s="115"/>
      <c r="O297" s="115"/>
    </row>
    <row r="298" ht="14.25" customHeight="1">
      <c r="A298" s="90"/>
      <c r="B298" s="16"/>
      <c r="C298" s="106"/>
      <c r="D298" s="106"/>
      <c r="E298" s="106"/>
      <c r="F298" s="106"/>
      <c r="G298" s="106"/>
      <c r="H298" s="106"/>
      <c r="I298" s="115"/>
      <c r="J298" s="115"/>
      <c r="K298" s="115"/>
      <c r="L298" s="115"/>
      <c r="M298" s="115"/>
      <c r="N298" s="115"/>
      <c r="O298" s="115"/>
    </row>
    <row r="299" ht="14.25" customHeight="1">
      <c r="A299" s="90"/>
      <c r="B299" s="16"/>
      <c r="C299" s="106"/>
      <c r="D299" s="106"/>
      <c r="E299" s="106"/>
      <c r="F299" s="106"/>
      <c r="G299" s="106"/>
      <c r="H299" s="106"/>
      <c r="I299" s="115"/>
      <c r="J299" s="115"/>
      <c r="K299" s="115"/>
      <c r="L299" s="115"/>
      <c r="M299" s="115"/>
      <c r="N299" s="115"/>
      <c r="O299" s="115"/>
    </row>
    <row r="300" ht="14.25" customHeight="1">
      <c r="A300" s="90"/>
      <c r="B300" s="16"/>
      <c r="C300" s="106"/>
      <c r="D300" s="106"/>
      <c r="E300" s="106"/>
      <c r="F300" s="106"/>
      <c r="G300" s="106"/>
      <c r="H300" s="106"/>
      <c r="I300" s="115"/>
      <c r="J300" s="115"/>
      <c r="K300" s="115"/>
      <c r="L300" s="115"/>
      <c r="M300" s="115"/>
      <c r="N300" s="115"/>
      <c r="O300" s="115"/>
    </row>
    <row r="301" ht="15.75" customHeight="1">
      <c r="I301" s="115"/>
      <c r="J301" s="115"/>
      <c r="K301" s="115"/>
      <c r="L301" s="115"/>
      <c r="M301" s="115"/>
      <c r="N301" s="115"/>
      <c r="O301" s="115"/>
    </row>
    <row r="302" ht="15.75" customHeight="1">
      <c r="I302" s="115"/>
      <c r="J302" s="115"/>
      <c r="K302" s="115"/>
      <c r="L302" s="115"/>
      <c r="M302" s="115"/>
      <c r="N302" s="115"/>
      <c r="O302" s="115"/>
    </row>
    <row r="303" ht="15.75" customHeight="1">
      <c r="I303" s="115"/>
      <c r="J303" s="115"/>
      <c r="K303" s="115"/>
      <c r="L303" s="115"/>
      <c r="M303" s="115"/>
      <c r="N303" s="115"/>
      <c r="O303" s="115"/>
    </row>
    <row r="304" ht="15.75" customHeight="1">
      <c r="I304" s="115"/>
      <c r="J304" s="115"/>
      <c r="K304" s="115"/>
      <c r="L304" s="115"/>
      <c r="M304" s="115"/>
      <c r="N304" s="115"/>
      <c r="O304" s="115"/>
    </row>
    <row r="305" ht="15.75" customHeight="1">
      <c r="I305" s="115"/>
      <c r="J305" s="115"/>
      <c r="K305" s="115"/>
      <c r="L305" s="115"/>
      <c r="M305" s="115"/>
      <c r="N305" s="115"/>
      <c r="O305" s="115"/>
    </row>
    <row r="306" ht="15.75" customHeight="1">
      <c r="I306" s="115"/>
      <c r="J306" s="115"/>
      <c r="K306" s="115"/>
      <c r="L306" s="115"/>
      <c r="M306" s="115"/>
      <c r="N306" s="115"/>
      <c r="O306" s="115"/>
    </row>
    <row r="307" ht="15.75" customHeight="1">
      <c r="I307" s="115"/>
      <c r="J307" s="115"/>
      <c r="K307" s="115"/>
      <c r="L307" s="115"/>
      <c r="M307" s="115"/>
      <c r="N307" s="115"/>
      <c r="O307" s="115"/>
    </row>
    <row r="308" ht="15.75" customHeight="1">
      <c r="I308" s="115"/>
      <c r="J308" s="115"/>
      <c r="K308" s="115"/>
      <c r="L308" s="115"/>
      <c r="M308" s="115"/>
      <c r="N308" s="115"/>
      <c r="O308" s="115"/>
    </row>
    <row r="309" ht="15.75" customHeight="1">
      <c r="I309" s="115"/>
      <c r="J309" s="115"/>
      <c r="K309" s="115"/>
      <c r="L309" s="115"/>
      <c r="M309" s="115"/>
      <c r="N309" s="115"/>
      <c r="O309" s="115"/>
    </row>
    <row r="310" ht="15.75" customHeight="1">
      <c r="I310" s="115"/>
      <c r="J310" s="115"/>
      <c r="K310" s="115"/>
      <c r="L310" s="115"/>
      <c r="M310" s="115"/>
      <c r="N310" s="115"/>
      <c r="O310" s="115"/>
    </row>
    <row r="311" ht="15.75" customHeight="1">
      <c r="I311" s="115"/>
      <c r="J311" s="115"/>
      <c r="K311" s="115"/>
      <c r="L311" s="115"/>
      <c r="M311" s="115"/>
      <c r="N311" s="115"/>
      <c r="O311" s="115"/>
    </row>
    <row r="312" ht="15.75" customHeight="1">
      <c r="I312" s="115"/>
      <c r="J312" s="115"/>
      <c r="K312" s="115"/>
      <c r="L312" s="115"/>
      <c r="M312" s="115"/>
      <c r="N312" s="115"/>
      <c r="O312" s="115"/>
    </row>
    <row r="313" ht="15.75" customHeight="1">
      <c r="I313" s="115"/>
      <c r="J313" s="115"/>
      <c r="K313" s="115"/>
      <c r="L313" s="115"/>
      <c r="M313" s="115"/>
      <c r="N313" s="115"/>
      <c r="O313" s="115"/>
    </row>
    <row r="314" ht="15.75" customHeight="1">
      <c r="I314" s="115"/>
      <c r="J314" s="115"/>
      <c r="K314" s="115"/>
      <c r="L314" s="115"/>
      <c r="M314" s="115"/>
      <c r="N314" s="115"/>
      <c r="O314" s="115"/>
    </row>
    <row r="315" ht="15.75" customHeight="1">
      <c r="I315" s="115"/>
      <c r="J315" s="115"/>
      <c r="K315" s="115"/>
      <c r="L315" s="115"/>
      <c r="M315" s="115"/>
      <c r="N315" s="115"/>
      <c r="O315" s="115"/>
    </row>
    <row r="316" ht="15.75" customHeight="1">
      <c r="I316" s="115"/>
      <c r="J316" s="115"/>
      <c r="K316" s="115"/>
      <c r="L316" s="115"/>
      <c r="M316" s="115"/>
      <c r="N316" s="115"/>
      <c r="O316" s="115"/>
    </row>
    <row r="317" ht="15.75" customHeight="1">
      <c r="I317" s="115"/>
      <c r="J317" s="115"/>
      <c r="K317" s="115"/>
      <c r="L317" s="115"/>
      <c r="M317" s="115"/>
      <c r="N317" s="115"/>
      <c r="O317" s="115"/>
    </row>
    <row r="318" ht="15.75" customHeight="1">
      <c r="I318" s="115"/>
      <c r="J318" s="115"/>
      <c r="K318" s="115"/>
      <c r="L318" s="115"/>
      <c r="M318" s="115"/>
      <c r="N318" s="115"/>
      <c r="O318" s="115"/>
    </row>
    <row r="319" ht="15.75" customHeight="1">
      <c r="I319" s="115"/>
      <c r="J319" s="115"/>
      <c r="K319" s="115"/>
      <c r="L319" s="115"/>
      <c r="M319" s="115"/>
      <c r="N319" s="115"/>
      <c r="O319" s="115"/>
    </row>
    <row r="320" ht="15.75" customHeight="1">
      <c r="I320" s="115"/>
      <c r="J320" s="115"/>
      <c r="K320" s="115"/>
      <c r="L320" s="115"/>
      <c r="M320" s="115"/>
      <c r="N320" s="115"/>
      <c r="O320" s="115"/>
    </row>
    <row r="321" ht="15.75" customHeight="1">
      <c r="I321" s="115"/>
      <c r="J321" s="115"/>
      <c r="K321" s="115"/>
      <c r="L321" s="115"/>
      <c r="M321" s="115"/>
      <c r="N321" s="115"/>
      <c r="O321" s="115"/>
    </row>
    <row r="322" ht="15.75" customHeight="1">
      <c r="I322" s="115"/>
      <c r="J322" s="115"/>
      <c r="K322" s="115"/>
      <c r="L322" s="115"/>
      <c r="M322" s="115"/>
      <c r="N322" s="115"/>
      <c r="O322" s="115"/>
    </row>
    <row r="323" ht="15.75" customHeight="1">
      <c r="I323" s="115"/>
      <c r="J323" s="115"/>
      <c r="K323" s="115"/>
      <c r="L323" s="115"/>
      <c r="M323" s="115"/>
      <c r="N323" s="115"/>
      <c r="O323" s="115"/>
    </row>
    <row r="324" ht="15.75" customHeight="1">
      <c r="I324" s="115"/>
      <c r="J324" s="115"/>
      <c r="K324" s="115"/>
      <c r="L324" s="115"/>
      <c r="M324" s="115"/>
      <c r="N324" s="115"/>
      <c r="O324" s="115"/>
    </row>
    <row r="325" ht="15.75" customHeight="1">
      <c r="I325" s="115"/>
      <c r="J325" s="115"/>
      <c r="K325" s="115"/>
      <c r="L325" s="115"/>
      <c r="M325" s="115"/>
      <c r="N325" s="115"/>
      <c r="O325" s="115"/>
    </row>
    <row r="326" ht="15.75" customHeight="1">
      <c r="I326" s="115"/>
      <c r="J326" s="115"/>
      <c r="K326" s="115"/>
      <c r="L326" s="115"/>
      <c r="M326" s="115"/>
      <c r="N326" s="115"/>
      <c r="O326" s="115"/>
    </row>
    <row r="327" ht="15.75" customHeight="1">
      <c r="I327" s="115"/>
      <c r="J327" s="115"/>
      <c r="K327" s="115"/>
      <c r="L327" s="115"/>
      <c r="M327" s="115"/>
      <c r="N327" s="115"/>
      <c r="O327" s="115"/>
    </row>
    <row r="328" ht="15.75" customHeight="1">
      <c r="I328" s="115"/>
      <c r="J328" s="115"/>
      <c r="K328" s="115"/>
      <c r="L328" s="115"/>
      <c r="M328" s="115"/>
      <c r="N328" s="115"/>
      <c r="O328" s="115"/>
    </row>
    <row r="329" ht="15.75" customHeight="1">
      <c r="I329" s="115"/>
      <c r="J329" s="115"/>
      <c r="K329" s="115"/>
      <c r="L329" s="115"/>
      <c r="M329" s="115"/>
      <c r="N329" s="115"/>
      <c r="O329" s="115"/>
    </row>
    <row r="330" ht="15.75" customHeight="1">
      <c r="I330" s="115"/>
      <c r="J330" s="115"/>
      <c r="K330" s="115"/>
      <c r="L330" s="115"/>
      <c r="M330" s="115"/>
      <c r="N330" s="115"/>
      <c r="O330" s="115"/>
    </row>
    <row r="331" ht="15.75" customHeight="1">
      <c r="I331" s="115"/>
      <c r="J331" s="115"/>
      <c r="K331" s="115"/>
      <c r="L331" s="115"/>
      <c r="M331" s="115"/>
      <c r="N331" s="115"/>
      <c r="O331" s="115"/>
    </row>
    <row r="332" ht="15.75" customHeight="1">
      <c r="I332" s="115"/>
      <c r="J332" s="115"/>
      <c r="K332" s="115"/>
      <c r="L332" s="115"/>
      <c r="M332" s="115"/>
      <c r="N332" s="115"/>
      <c r="O332" s="115"/>
    </row>
    <row r="333" ht="15.75" customHeight="1">
      <c r="I333" s="115"/>
      <c r="J333" s="115"/>
      <c r="K333" s="115"/>
      <c r="L333" s="115"/>
      <c r="M333" s="115"/>
      <c r="N333" s="115"/>
      <c r="O333" s="115"/>
    </row>
    <row r="334" ht="15.75" customHeight="1">
      <c r="I334" s="115"/>
      <c r="J334" s="115"/>
      <c r="K334" s="115"/>
      <c r="L334" s="115"/>
      <c r="M334" s="115"/>
      <c r="N334" s="115"/>
      <c r="O334" s="115"/>
    </row>
    <row r="335" ht="15.75" customHeight="1">
      <c r="I335" s="115"/>
      <c r="J335" s="115"/>
      <c r="K335" s="115"/>
      <c r="L335" s="115"/>
      <c r="M335" s="115"/>
      <c r="N335" s="115"/>
      <c r="O335" s="115"/>
    </row>
    <row r="336" ht="15.75" customHeight="1">
      <c r="I336" s="115"/>
      <c r="J336" s="115"/>
      <c r="K336" s="115"/>
      <c r="L336" s="115"/>
      <c r="M336" s="115"/>
      <c r="N336" s="115"/>
      <c r="O336" s="115"/>
    </row>
    <row r="337" ht="15.75" customHeight="1">
      <c r="I337" s="115"/>
      <c r="J337" s="115"/>
      <c r="K337" s="115"/>
      <c r="L337" s="115"/>
      <c r="M337" s="115"/>
      <c r="N337" s="115"/>
      <c r="O337" s="115"/>
    </row>
    <row r="338" ht="15.75" customHeight="1">
      <c r="I338" s="115"/>
      <c r="J338" s="115"/>
      <c r="K338" s="115"/>
      <c r="L338" s="115"/>
      <c r="M338" s="115"/>
      <c r="N338" s="115"/>
      <c r="O338" s="115"/>
    </row>
    <row r="339" ht="15.75" customHeight="1">
      <c r="I339" s="115"/>
      <c r="J339" s="115"/>
      <c r="K339" s="115"/>
      <c r="L339" s="115"/>
      <c r="M339" s="115"/>
      <c r="N339" s="115"/>
      <c r="O339" s="115"/>
    </row>
    <row r="340" ht="15.75" customHeight="1">
      <c r="I340" s="115"/>
      <c r="J340" s="115"/>
      <c r="K340" s="115"/>
      <c r="L340" s="115"/>
      <c r="M340" s="115"/>
      <c r="N340" s="115"/>
      <c r="O340" s="115"/>
    </row>
    <row r="341" ht="15.75" customHeight="1">
      <c r="I341" s="115"/>
      <c r="J341" s="115"/>
      <c r="K341" s="115"/>
      <c r="L341" s="115"/>
      <c r="M341" s="115"/>
      <c r="N341" s="115"/>
      <c r="O341" s="115"/>
    </row>
    <row r="342" ht="15.75" customHeight="1">
      <c r="I342" s="115"/>
      <c r="J342" s="115"/>
      <c r="K342" s="115"/>
      <c r="L342" s="115"/>
      <c r="M342" s="115"/>
      <c r="N342" s="115"/>
      <c r="O342" s="115"/>
    </row>
    <row r="343" ht="15.75" customHeight="1">
      <c r="I343" s="115"/>
      <c r="J343" s="115"/>
      <c r="K343" s="115"/>
      <c r="L343" s="115"/>
      <c r="M343" s="115"/>
      <c r="N343" s="115"/>
      <c r="O343" s="115"/>
    </row>
    <row r="344" ht="15.75" customHeight="1">
      <c r="I344" s="115"/>
      <c r="J344" s="115"/>
      <c r="K344" s="115"/>
      <c r="L344" s="115"/>
      <c r="M344" s="115"/>
      <c r="N344" s="115"/>
      <c r="O344" s="115"/>
    </row>
    <row r="345" ht="15.75" customHeight="1">
      <c r="I345" s="115"/>
      <c r="J345" s="115"/>
      <c r="K345" s="115"/>
      <c r="L345" s="115"/>
      <c r="M345" s="115"/>
      <c r="N345" s="115"/>
      <c r="O345" s="115"/>
    </row>
    <row r="346" ht="15.75" customHeight="1">
      <c r="I346" s="115"/>
      <c r="J346" s="115"/>
      <c r="K346" s="115"/>
      <c r="L346" s="115"/>
      <c r="M346" s="115"/>
      <c r="N346" s="115"/>
      <c r="O346" s="115"/>
    </row>
    <row r="347" ht="15.75" customHeight="1">
      <c r="I347" s="115"/>
      <c r="J347" s="115"/>
      <c r="K347" s="115"/>
      <c r="L347" s="115"/>
      <c r="M347" s="115"/>
      <c r="N347" s="115"/>
      <c r="O347" s="115"/>
    </row>
    <row r="348" ht="15.75" customHeight="1">
      <c r="I348" s="115"/>
      <c r="J348" s="115"/>
      <c r="K348" s="115"/>
      <c r="L348" s="115"/>
      <c r="M348" s="115"/>
      <c r="N348" s="115"/>
      <c r="O348" s="115"/>
    </row>
    <row r="349" ht="15.75" customHeight="1">
      <c r="I349" s="115"/>
      <c r="J349" s="115"/>
      <c r="K349" s="115"/>
      <c r="L349" s="115"/>
      <c r="M349" s="115"/>
      <c r="N349" s="115"/>
      <c r="O349" s="115"/>
    </row>
    <row r="350" ht="15.75" customHeight="1">
      <c r="I350" s="115"/>
      <c r="J350" s="115"/>
      <c r="K350" s="115"/>
      <c r="L350" s="115"/>
      <c r="M350" s="115"/>
      <c r="N350" s="115"/>
      <c r="O350" s="115"/>
    </row>
    <row r="351" ht="15.75" customHeight="1">
      <c r="I351" s="115"/>
      <c r="J351" s="115"/>
      <c r="K351" s="115"/>
      <c r="L351" s="115"/>
      <c r="M351" s="115"/>
      <c r="N351" s="115"/>
      <c r="O351" s="115"/>
    </row>
    <row r="352" ht="15.75" customHeight="1">
      <c r="I352" s="115"/>
      <c r="J352" s="115"/>
      <c r="K352" s="115"/>
      <c r="L352" s="115"/>
      <c r="M352" s="115"/>
      <c r="N352" s="115"/>
      <c r="O352" s="115"/>
    </row>
    <row r="353" ht="15.75" customHeight="1">
      <c r="I353" s="115"/>
      <c r="J353" s="115"/>
      <c r="K353" s="115"/>
      <c r="L353" s="115"/>
      <c r="M353" s="115"/>
      <c r="N353" s="115"/>
      <c r="O353" s="115"/>
    </row>
    <row r="354" ht="15.75" customHeight="1">
      <c r="I354" s="115"/>
      <c r="J354" s="115"/>
      <c r="K354" s="115"/>
      <c r="L354" s="115"/>
      <c r="M354" s="115"/>
      <c r="N354" s="115"/>
      <c r="O354" s="115"/>
    </row>
    <row r="355" ht="15.75" customHeight="1">
      <c r="I355" s="115"/>
      <c r="J355" s="115"/>
      <c r="K355" s="115"/>
      <c r="L355" s="115"/>
      <c r="M355" s="115"/>
      <c r="N355" s="115"/>
      <c r="O355" s="115"/>
    </row>
    <row r="356" ht="15.75" customHeight="1">
      <c r="I356" s="115"/>
      <c r="J356" s="115"/>
      <c r="K356" s="115"/>
      <c r="L356" s="115"/>
      <c r="M356" s="115"/>
      <c r="N356" s="115"/>
      <c r="O356" s="115"/>
    </row>
    <row r="357" ht="15.75" customHeight="1">
      <c r="I357" s="115"/>
      <c r="J357" s="115"/>
      <c r="K357" s="115"/>
      <c r="L357" s="115"/>
      <c r="M357" s="115"/>
      <c r="N357" s="115"/>
      <c r="O357" s="115"/>
    </row>
    <row r="358" ht="15.75" customHeight="1">
      <c r="I358" s="115"/>
      <c r="J358" s="115"/>
      <c r="K358" s="115"/>
      <c r="L358" s="115"/>
      <c r="M358" s="115"/>
      <c r="N358" s="115"/>
      <c r="O358" s="115"/>
    </row>
    <row r="359" ht="15.75" customHeight="1">
      <c r="I359" s="115"/>
      <c r="J359" s="115"/>
      <c r="K359" s="115"/>
      <c r="L359" s="115"/>
      <c r="M359" s="115"/>
      <c r="N359" s="115"/>
      <c r="O359" s="115"/>
    </row>
    <row r="360" ht="15.75" customHeight="1">
      <c r="I360" s="115"/>
      <c r="J360" s="115"/>
      <c r="K360" s="115"/>
      <c r="L360" s="115"/>
      <c r="M360" s="115"/>
      <c r="N360" s="115"/>
      <c r="O360" s="115"/>
    </row>
    <row r="361" ht="15.75" customHeight="1">
      <c r="I361" s="115"/>
      <c r="J361" s="115"/>
      <c r="K361" s="115"/>
      <c r="L361" s="115"/>
      <c r="M361" s="115"/>
      <c r="N361" s="115"/>
      <c r="O361" s="115"/>
    </row>
    <row r="362" ht="15.75" customHeight="1">
      <c r="I362" s="115"/>
      <c r="J362" s="115"/>
      <c r="K362" s="115"/>
      <c r="L362" s="115"/>
      <c r="M362" s="115"/>
      <c r="N362" s="115"/>
      <c r="O362" s="115"/>
    </row>
    <row r="363" ht="15.75" customHeight="1">
      <c r="I363" s="115"/>
      <c r="J363" s="115"/>
      <c r="K363" s="115"/>
      <c r="L363" s="115"/>
      <c r="M363" s="115"/>
      <c r="N363" s="115"/>
      <c r="O363" s="115"/>
    </row>
    <row r="364" ht="15.75" customHeight="1">
      <c r="I364" s="115"/>
      <c r="J364" s="115"/>
      <c r="K364" s="115"/>
      <c r="L364" s="115"/>
      <c r="M364" s="115"/>
      <c r="N364" s="115"/>
      <c r="O364" s="115"/>
    </row>
    <row r="365" ht="15.75" customHeight="1">
      <c r="I365" s="115"/>
      <c r="J365" s="115"/>
      <c r="K365" s="115"/>
      <c r="L365" s="115"/>
      <c r="M365" s="115"/>
      <c r="N365" s="115"/>
      <c r="O365" s="115"/>
    </row>
    <row r="366" ht="15.75" customHeight="1">
      <c r="I366" s="115"/>
      <c r="J366" s="115"/>
      <c r="K366" s="115"/>
      <c r="L366" s="115"/>
      <c r="M366" s="115"/>
      <c r="N366" s="115"/>
      <c r="O366" s="115"/>
    </row>
    <row r="367" ht="15.75" customHeight="1">
      <c r="I367" s="115"/>
      <c r="J367" s="115"/>
      <c r="K367" s="115"/>
      <c r="L367" s="115"/>
      <c r="M367" s="115"/>
      <c r="N367" s="115"/>
      <c r="O367" s="115"/>
    </row>
    <row r="368" ht="15.75" customHeight="1">
      <c r="I368" s="115"/>
      <c r="J368" s="115"/>
      <c r="K368" s="115"/>
      <c r="L368" s="115"/>
      <c r="M368" s="115"/>
      <c r="N368" s="115"/>
      <c r="O368" s="115"/>
    </row>
    <row r="369" ht="15.75" customHeight="1">
      <c r="I369" s="115"/>
      <c r="J369" s="115"/>
      <c r="K369" s="115"/>
      <c r="L369" s="115"/>
      <c r="M369" s="115"/>
      <c r="N369" s="115"/>
      <c r="O369" s="115"/>
    </row>
    <row r="370" ht="15.75" customHeight="1">
      <c r="I370" s="115"/>
      <c r="J370" s="115"/>
      <c r="K370" s="115"/>
      <c r="L370" s="115"/>
      <c r="M370" s="115"/>
      <c r="N370" s="115"/>
      <c r="O370" s="115"/>
    </row>
    <row r="371" ht="15.75" customHeight="1">
      <c r="I371" s="115"/>
      <c r="J371" s="115"/>
      <c r="K371" s="115"/>
      <c r="L371" s="115"/>
      <c r="M371" s="115"/>
      <c r="N371" s="115"/>
      <c r="O371" s="115"/>
    </row>
    <row r="372" ht="15.75" customHeight="1">
      <c r="I372" s="115"/>
      <c r="J372" s="115"/>
      <c r="K372" s="115"/>
      <c r="L372" s="115"/>
      <c r="M372" s="115"/>
      <c r="N372" s="115"/>
      <c r="O372" s="115"/>
    </row>
    <row r="373" ht="15.75" customHeight="1">
      <c r="I373" s="115"/>
      <c r="J373" s="115"/>
      <c r="K373" s="115"/>
      <c r="L373" s="115"/>
      <c r="M373" s="115"/>
      <c r="N373" s="115"/>
      <c r="O373" s="115"/>
    </row>
    <row r="374" ht="15.75" customHeight="1">
      <c r="I374" s="115"/>
      <c r="J374" s="115"/>
      <c r="K374" s="115"/>
      <c r="L374" s="115"/>
      <c r="M374" s="115"/>
      <c r="N374" s="115"/>
      <c r="O374" s="115"/>
    </row>
    <row r="375" ht="15.75" customHeight="1">
      <c r="I375" s="115"/>
      <c r="J375" s="115"/>
      <c r="K375" s="115"/>
      <c r="L375" s="115"/>
      <c r="M375" s="115"/>
      <c r="N375" s="115"/>
      <c r="O375" s="115"/>
    </row>
    <row r="376" ht="15.75" customHeight="1">
      <c r="I376" s="115"/>
      <c r="J376" s="115"/>
      <c r="K376" s="115"/>
      <c r="L376" s="115"/>
      <c r="M376" s="115"/>
      <c r="N376" s="115"/>
      <c r="O376" s="115"/>
    </row>
    <row r="377" ht="15.75" customHeight="1">
      <c r="I377" s="115"/>
      <c r="J377" s="115"/>
      <c r="K377" s="115"/>
      <c r="L377" s="115"/>
      <c r="M377" s="115"/>
      <c r="N377" s="115"/>
      <c r="O377" s="115"/>
    </row>
    <row r="378" ht="15.75" customHeight="1">
      <c r="I378" s="115"/>
      <c r="J378" s="115"/>
      <c r="K378" s="115"/>
      <c r="L378" s="115"/>
      <c r="M378" s="115"/>
      <c r="N378" s="115"/>
      <c r="O378" s="115"/>
    </row>
    <row r="379" ht="15.75" customHeight="1">
      <c r="I379" s="115"/>
      <c r="J379" s="115"/>
      <c r="K379" s="115"/>
      <c r="L379" s="115"/>
      <c r="M379" s="115"/>
      <c r="N379" s="115"/>
      <c r="O379" s="115"/>
    </row>
    <row r="380" ht="15.75" customHeight="1">
      <c r="I380" s="115"/>
      <c r="J380" s="115"/>
      <c r="K380" s="115"/>
      <c r="L380" s="115"/>
      <c r="M380" s="115"/>
      <c r="N380" s="115"/>
      <c r="O380" s="115"/>
    </row>
    <row r="381" ht="15.75" customHeight="1">
      <c r="I381" s="115"/>
      <c r="J381" s="115"/>
      <c r="K381" s="115"/>
      <c r="L381" s="115"/>
      <c r="M381" s="115"/>
      <c r="N381" s="115"/>
      <c r="O381" s="115"/>
    </row>
    <row r="382" ht="15.75" customHeight="1">
      <c r="I382" s="115"/>
      <c r="J382" s="115"/>
      <c r="K382" s="115"/>
      <c r="L382" s="115"/>
      <c r="M382" s="115"/>
      <c r="N382" s="115"/>
      <c r="O382" s="115"/>
    </row>
    <row r="383" ht="15.75" customHeight="1">
      <c r="I383" s="115"/>
      <c r="J383" s="115"/>
      <c r="K383" s="115"/>
      <c r="L383" s="115"/>
      <c r="M383" s="115"/>
      <c r="N383" s="115"/>
      <c r="O383" s="115"/>
    </row>
    <row r="384" ht="15.75" customHeight="1">
      <c r="I384" s="115"/>
      <c r="J384" s="115"/>
      <c r="K384" s="115"/>
      <c r="L384" s="115"/>
      <c r="M384" s="115"/>
      <c r="N384" s="115"/>
      <c r="O384" s="115"/>
    </row>
    <row r="385" ht="15.75" customHeight="1">
      <c r="I385" s="115"/>
      <c r="J385" s="115"/>
      <c r="K385" s="115"/>
      <c r="L385" s="115"/>
      <c r="M385" s="115"/>
      <c r="N385" s="115"/>
      <c r="O385" s="115"/>
    </row>
    <row r="386" ht="15.75" customHeight="1">
      <c r="I386" s="115"/>
      <c r="J386" s="115"/>
      <c r="K386" s="115"/>
      <c r="L386" s="115"/>
      <c r="M386" s="115"/>
      <c r="N386" s="115"/>
      <c r="O386" s="115"/>
    </row>
    <row r="387" ht="15.75" customHeight="1">
      <c r="I387" s="115"/>
      <c r="J387" s="115"/>
      <c r="K387" s="115"/>
      <c r="L387" s="115"/>
      <c r="M387" s="115"/>
      <c r="N387" s="115"/>
      <c r="O387" s="115"/>
    </row>
    <row r="388" ht="15.75" customHeight="1">
      <c r="I388" s="115"/>
      <c r="J388" s="115"/>
      <c r="K388" s="115"/>
      <c r="L388" s="115"/>
      <c r="M388" s="115"/>
      <c r="N388" s="115"/>
      <c r="O388" s="115"/>
    </row>
    <row r="389" ht="15.75" customHeight="1">
      <c r="I389" s="115"/>
      <c r="J389" s="115"/>
      <c r="K389" s="115"/>
      <c r="L389" s="115"/>
      <c r="M389" s="115"/>
      <c r="N389" s="115"/>
      <c r="O389" s="115"/>
    </row>
    <row r="390" ht="15.75" customHeight="1">
      <c r="I390" s="115"/>
      <c r="J390" s="115"/>
      <c r="K390" s="115"/>
      <c r="L390" s="115"/>
      <c r="M390" s="115"/>
      <c r="N390" s="115"/>
      <c r="O390" s="115"/>
    </row>
    <row r="391" ht="15.75" customHeight="1">
      <c r="I391" s="115"/>
      <c r="J391" s="115"/>
      <c r="K391" s="115"/>
      <c r="L391" s="115"/>
      <c r="M391" s="115"/>
      <c r="N391" s="115"/>
      <c r="O391" s="115"/>
    </row>
    <row r="392" ht="15.75" customHeight="1">
      <c r="I392" s="115"/>
      <c r="J392" s="115"/>
      <c r="K392" s="115"/>
      <c r="L392" s="115"/>
      <c r="M392" s="115"/>
      <c r="N392" s="115"/>
      <c r="O392" s="115"/>
    </row>
    <row r="393" ht="15.75" customHeight="1">
      <c r="I393" s="115"/>
      <c r="J393" s="115"/>
      <c r="K393" s="115"/>
      <c r="L393" s="115"/>
      <c r="M393" s="115"/>
      <c r="N393" s="115"/>
      <c r="O393" s="115"/>
    </row>
    <row r="394" ht="15.75" customHeight="1">
      <c r="I394" s="115"/>
      <c r="J394" s="115"/>
      <c r="K394" s="115"/>
      <c r="L394" s="115"/>
      <c r="M394" s="115"/>
      <c r="N394" s="115"/>
      <c r="O394" s="115"/>
    </row>
    <row r="395" ht="15.75" customHeight="1">
      <c r="I395" s="115"/>
      <c r="J395" s="115"/>
      <c r="K395" s="115"/>
      <c r="L395" s="115"/>
      <c r="M395" s="115"/>
      <c r="N395" s="115"/>
      <c r="O395" s="115"/>
    </row>
    <row r="396" ht="15.75" customHeight="1">
      <c r="I396" s="115"/>
      <c r="J396" s="115"/>
      <c r="K396" s="115"/>
      <c r="L396" s="115"/>
      <c r="M396" s="115"/>
      <c r="N396" s="115"/>
      <c r="O396" s="115"/>
    </row>
    <row r="397" ht="15.75" customHeight="1">
      <c r="I397" s="115"/>
      <c r="J397" s="115"/>
      <c r="K397" s="115"/>
      <c r="L397" s="115"/>
      <c r="M397" s="115"/>
      <c r="N397" s="115"/>
      <c r="O397" s="115"/>
    </row>
    <row r="398" ht="15.75" customHeight="1">
      <c r="I398" s="115"/>
      <c r="J398" s="115"/>
      <c r="K398" s="115"/>
      <c r="L398" s="115"/>
      <c r="M398" s="115"/>
      <c r="N398" s="115"/>
      <c r="O398" s="115"/>
    </row>
    <row r="399" ht="15.75" customHeight="1">
      <c r="I399" s="115"/>
      <c r="J399" s="115"/>
      <c r="K399" s="115"/>
      <c r="L399" s="115"/>
      <c r="M399" s="115"/>
      <c r="N399" s="115"/>
      <c r="O399" s="115"/>
    </row>
    <row r="400" ht="15.75" customHeight="1">
      <c r="I400" s="115"/>
      <c r="J400" s="115"/>
      <c r="K400" s="115"/>
      <c r="L400" s="115"/>
      <c r="M400" s="115"/>
      <c r="N400" s="115"/>
      <c r="O400" s="115"/>
    </row>
    <row r="401" ht="15.75" customHeight="1">
      <c r="I401" s="115"/>
      <c r="J401" s="115"/>
      <c r="K401" s="115"/>
      <c r="L401" s="115"/>
      <c r="M401" s="115"/>
      <c r="N401" s="115"/>
      <c r="O401" s="115"/>
    </row>
    <row r="402" ht="15.75" customHeight="1">
      <c r="I402" s="115"/>
      <c r="J402" s="115"/>
      <c r="K402" s="115"/>
      <c r="L402" s="115"/>
      <c r="M402" s="115"/>
      <c r="N402" s="115"/>
      <c r="O402" s="115"/>
    </row>
    <row r="403" ht="15.75" customHeight="1">
      <c r="I403" s="115"/>
      <c r="J403" s="115"/>
      <c r="K403" s="115"/>
      <c r="L403" s="115"/>
      <c r="M403" s="115"/>
      <c r="N403" s="115"/>
      <c r="O403" s="115"/>
    </row>
    <row r="404" ht="15.75" customHeight="1">
      <c r="I404" s="115"/>
      <c r="J404" s="115"/>
      <c r="K404" s="115"/>
      <c r="L404" s="115"/>
      <c r="M404" s="115"/>
      <c r="N404" s="115"/>
      <c r="O404" s="115"/>
    </row>
    <row r="405" ht="15.75" customHeight="1">
      <c r="I405" s="115"/>
      <c r="J405" s="115"/>
      <c r="K405" s="115"/>
      <c r="L405" s="115"/>
      <c r="M405" s="115"/>
      <c r="N405" s="115"/>
      <c r="O405" s="115"/>
    </row>
    <row r="406" ht="15.75" customHeight="1">
      <c r="I406" s="115"/>
      <c r="J406" s="115"/>
      <c r="K406" s="115"/>
      <c r="L406" s="115"/>
      <c r="M406" s="115"/>
      <c r="N406" s="115"/>
      <c r="O406" s="115"/>
    </row>
    <row r="407" ht="15.75" customHeight="1">
      <c r="I407" s="115"/>
      <c r="J407" s="115"/>
      <c r="K407" s="115"/>
      <c r="L407" s="115"/>
      <c r="M407" s="115"/>
      <c r="N407" s="115"/>
      <c r="O407" s="115"/>
    </row>
    <row r="408" ht="15.75" customHeight="1">
      <c r="I408" s="115"/>
      <c r="J408" s="115"/>
      <c r="K408" s="115"/>
      <c r="L408" s="115"/>
      <c r="M408" s="115"/>
      <c r="N408" s="115"/>
      <c r="O408" s="115"/>
    </row>
    <row r="409" ht="15.75" customHeight="1">
      <c r="I409" s="115"/>
      <c r="J409" s="115"/>
      <c r="K409" s="115"/>
      <c r="L409" s="115"/>
      <c r="M409" s="115"/>
      <c r="N409" s="115"/>
      <c r="O409" s="115"/>
    </row>
    <row r="410" ht="15.75" customHeight="1">
      <c r="I410" s="115"/>
      <c r="J410" s="115"/>
      <c r="K410" s="115"/>
      <c r="L410" s="115"/>
      <c r="M410" s="115"/>
      <c r="N410" s="115"/>
      <c r="O410" s="115"/>
    </row>
    <row r="411" ht="15.75" customHeight="1">
      <c r="I411" s="115"/>
      <c r="J411" s="115"/>
      <c r="K411" s="115"/>
      <c r="L411" s="115"/>
      <c r="M411" s="115"/>
      <c r="N411" s="115"/>
      <c r="O411" s="115"/>
    </row>
    <row r="412" ht="15.75" customHeight="1">
      <c r="I412" s="115"/>
      <c r="J412" s="115"/>
      <c r="K412" s="115"/>
      <c r="L412" s="115"/>
      <c r="M412" s="115"/>
      <c r="N412" s="115"/>
      <c r="O412" s="115"/>
    </row>
    <row r="413" ht="15.75" customHeight="1">
      <c r="I413" s="115"/>
      <c r="J413" s="115"/>
      <c r="K413" s="115"/>
      <c r="L413" s="115"/>
      <c r="M413" s="115"/>
      <c r="N413" s="115"/>
      <c r="O413" s="115"/>
    </row>
    <row r="414" ht="15.75" customHeight="1">
      <c r="I414" s="115"/>
      <c r="J414" s="115"/>
      <c r="K414" s="115"/>
      <c r="L414" s="115"/>
      <c r="M414" s="115"/>
      <c r="N414" s="115"/>
      <c r="O414" s="115"/>
    </row>
    <row r="415" ht="15.75" customHeight="1">
      <c r="I415" s="115"/>
      <c r="J415" s="115"/>
      <c r="K415" s="115"/>
      <c r="L415" s="115"/>
      <c r="M415" s="115"/>
      <c r="N415" s="115"/>
      <c r="O415" s="115"/>
    </row>
    <row r="416" ht="15.75" customHeight="1">
      <c r="I416" s="115"/>
      <c r="J416" s="115"/>
      <c r="K416" s="115"/>
      <c r="L416" s="115"/>
      <c r="M416" s="115"/>
      <c r="N416" s="115"/>
      <c r="O416" s="115"/>
    </row>
    <row r="417" ht="15.75" customHeight="1">
      <c r="I417" s="115"/>
      <c r="J417" s="115"/>
      <c r="K417" s="115"/>
      <c r="L417" s="115"/>
      <c r="M417" s="115"/>
      <c r="N417" s="115"/>
      <c r="O417" s="115"/>
    </row>
    <row r="418" ht="15.75" customHeight="1">
      <c r="I418" s="115"/>
      <c r="J418" s="115"/>
      <c r="K418" s="115"/>
      <c r="L418" s="115"/>
      <c r="M418" s="115"/>
      <c r="N418" s="115"/>
      <c r="O418" s="115"/>
    </row>
    <row r="419" ht="15.75" customHeight="1">
      <c r="I419" s="115"/>
      <c r="J419" s="115"/>
      <c r="K419" s="115"/>
      <c r="L419" s="115"/>
      <c r="M419" s="115"/>
      <c r="N419" s="115"/>
      <c r="O419" s="115"/>
    </row>
    <row r="420" ht="15.75" customHeight="1">
      <c r="I420" s="115"/>
      <c r="J420" s="115"/>
      <c r="K420" s="115"/>
      <c r="L420" s="115"/>
      <c r="M420" s="115"/>
      <c r="N420" s="115"/>
      <c r="O420" s="115"/>
    </row>
    <row r="421" ht="15.75" customHeight="1">
      <c r="I421" s="115"/>
      <c r="J421" s="115"/>
      <c r="K421" s="115"/>
      <c r="L421" s="115"/>
      <c r="M421" s="115"/>
      <c r="N421" s="115"/>
      <c r="O421" s="115"/>
    </row>
    <row r="422" ht="15.75" customHeight="1">
      <c r="I422" s="115"/>
      <c r="J422" s="115"/>
      <c r="K422" s="115"/>
      <c r="L422" s="115"/>
      <c r="M422" s="115"/>
      <c r="N422" s="115"/>
      <c r="O422" s="115"/>
    </row>
    <row r="423" ht="15.75" customHeight="1">
      <c r="I423" s="115"/>
      <c r="J423" s="115"/>
      <c r="K423" s="115"/>
      <c r="L423" s="115"/>
      <c r="M423" s="115"/>
      <c r="N423" s="115"/>
      <c r="O423" s="115"/>
    </row>
    <row r="424" ht="15.75" customHeight="1">
      <c r="I424" s="115"/>
      <c r="J424" s="115"/>
      <c r="K424" s="115"/>
      <c r="L424" s="115"/>
      <c r="M424" s="115"/>
      <c r="N424" s="115"/>
      <c r="O424" s="115"/>
    </row>
    <row r="425" ht="15.75" customHeight="1">
      <c r="I425" s="115"/>
      <c r="J425" s="115"/>
      <c r="K425" s="115"/>
      <c r="L425" s="115"/>
      <c r="M425" s="115"/>
      <c r="N425" s="115"/>
      <c r="O425" s="115"/>
    </row>
    <row r="426" ht="15.75" customHeight="1">
      <c r="I426" s="115"/>
      <c r="J426" s="115"/>
      <c r="K426" s="115"/>
      <c r="L426" s="115"/>
      <c r="M426" s="115"/>
      <c r="N426" s="115"/>
      <c r="O426" s="115"/>
    </row>
    <row r="427" ht="15.75" customHeight="1">
      <c r="I427" s="115"/>
      <c r="J427" s="115"/>
      <c r="K427" s="115"/>
      <c r="L427" s="115"/>
      <c r="M427" s="115"/>
      <c r="N427" s="115"/>
      <c r="O427" s="115"/>
    </row>
    <row r="428" ht="15.75" customHeight="1">
      <c r="I428" s="115"/>
      <c r="J428" s="115"/>
      <c r="K428" s="115"/>
      <c r="L428" s="115"/>
      <c r="M428" s="115"/>
      <c r="N428" s="115"/>
      <c r="O428" s="115"/>
    </row>
    <row r="429" ht="15.75" customHeight="1">
      <c r="I429" s="115"/>
      <c r="J429" s="115"/>
      <c r="K429" s="115"/>
      <c r="L429" s="115"/>
      <c r="M429" s="115"/>
      <c r="N429" s="115"/>
      <c r="O429" s="115"/>
    </row>
    <row r="430" ht="15.75" customHeight="1">
      <c r="I430" s="115"/>
      <c r="J430" s="115"/>
      <c r="K430" s="115"/>
      <c r="L430" s="115"/>
      <c r="M430" s="115"/>
      <c r="N430" s="115"/>
      <c r="O430" s="115"/>
    </row>
    <row r="431" ht="15.75" customHeight="1">
      <c r="I431" s="115"/>
      <c r="J431" s="115"/>
      <c r="K431" s="115"/>
      <c r="L431" s="115"/>
      <c r="M431" s="115"/>
      <c r="N431" s="115"/>
      <c r="O431" s="115"/>
    </row>
    <row r="432" ht="15.75" customHeight="1">
      <c r="I432" s="115"/>
      <c r="J432" s="115"/>
      <c r="K432" s="115"/>
      <c r="L432" s="115"/>
      <c r="M432" s="115"/>
      <c r="N432" s="115"/>
      <c r="O432" s="115"/>
    </row>
    <row r="433" ht="15.75" customHeight="1">
      <c r="I433" s="115"/>
      <c r="J433" s="115"/>
      <c r="K433" s="115"/>
      <c r="L433" s="115"/>
      <c r="M433" s="115"/>
      <c r="N433" s="115"/>
      <c r="O433" s="115"/>
    </row>
    <row r="434" ht="15.75" customHeight="1">
      <c r="I434" s="115"/>
      <c r="J434" s="115"/>
      <c r="K434" s="115"/>
      <c r="L434" s="115"/>
      <c r="M434" s="115"/>
      <c r="N434" s="115"/>
      <c r="O434" s="115"/>
    </row>
    <row r="435" ht="15.75" customHeight="1">
      <c r="I435" s="115"/>
      <c r="J435" s="115"/>
      <c r="K435" s="115"/>
      <c r="L435" s="115"/>
      <c r="M435" s="115"/>
      <c r="N435" s="115"/>
      <c r="O435" s="115"/>
    </row>
    <row r="436" ht="15.75" customHeight="1">
      <c r="I436" s="115"/>
      <c r="J436" s="115"/>
      <c r="K436" s="115"/>
      <c r="L436" s="115"/>
      <c r="M436" s="115"/>
      <c r="N436" s="115"/>
      <c r="O436" s="115"/>
    </row>
    <row r="437" ht="15.75" customHeight="1">
      <c r="I437" s="115"/>
      <c r="J437" s="115"/>
      <c r="K437" s="115"/>
      <c r="L437" s="115"/>
      <c r="M437" s="115"/>
      <c r="N437" s="115"/>
      <c r="O437" s="115"/>
    </row>
    <row r="438" ht="15.75" customHeight="1">
      <c r="I438" s="115"/>
      <c r="J438" s="115"/>
      <c r="K438" s="115"/>
      <c r="L438" s="115"/>
      <c r="M438" s="115"/>
      <c r="N438" s="115"/>
      <c r="O438" s="115"/>
    </row>
    <row r="439" ht="15.75" customHeight="1">
      <c r="I439" s="115"/>
      <c r="J439" s="115"/>
      <c r="K439" s="115"/>
      <c r="L439" s="115"/>
      <c r="M439" s="115"/>
      <c r="N439" s="115"/>
      <c r="O439" s="115"/>
    </row>
    <row r="440" ht="15.75" customHeight="1">
      <c r="I440" s="115"/>
      <c r="J440" s="115"/>
      <c r="K440" s="115"/>
      <c r="L440" s="115"/>
      <c r="M440" s="115"/>
      <c r="N440" s="115"/>
      <c r="O440" s="115"/>
    </row>
    <row r="441" ht="15.75" customHeight="1">
      <c r="I441" s="115"/>
      <c r="J441" s="115"/>
      <c r="K441" s="115"/>
      <c r="L441" s="115"/>
      <c r="M441" s="115"/>
      <c r="N441" s="115"/>
      <c r="O441" s="115"/>
    </row>
    <row r="442" ht="15.75" customHeight="1">
      <c r="I442" s="115"/>
      <c r="J442" s="115"/>
      <c r="K442" s="115"/>
      <c r="L442" s="115"/>
      <c r="M442" s="115"/>
      <c r="N442" s="115"/>
      <c r="O442" s="115"/>
    </row>
    <row r="443" ht="15.75" customHeight="1">
      <c r="I443" s="115"/>
      <c r="J443" s="115"/>
      <c r="K443" s="115"/>
      <c r="L443" s="115"/>
      <c r="M443" s="115"/>
      <c r="N443" s="115"/>
      <c r="O443" s="115"/>
    </row>
    <row r="444" ht="15.75" customHeight="1">
      <c r="I444" s="115"/>
      <c r="J444" s="115"/>
      <c r="K444" s="115"/>
      <c r="L444" s="115"/>
      <c r="M444" s="115"/>
      <c r="N444" s="115"/>
      <c r="O444" s="115"/>
    </row>
    <row r="445" ht="15.75" customHeight="1">
      <c r="I445" s="115"/>
      <c r="J445" s="115"/>
      <c r="K445" s="115"/>
      <c r="L445" s="115"/>
      <c r="M445" s="115"/>
      <c r="N445" s="115"/>
      <c r="O445" s="115"/>
    </row>
    <row r="446" ht="15.75" customHeight="1">
      <c r="I446" s="115"/>
      <c r="J446" s="115"/>
      <c r="K446" s="115"/>
      <c r="L446" s="115"/>
      <c r="M446" s="115"/>
      <c r="N446" s="115"/>
      <c r="O446" s="115"/>
    </row>
    <row r="447" ht="15.75" customHeight="1">
      <c r="I447" s="115"/>
      <c r="J447" s="115"/>
      <c r="K447" s="115"/>
      <c r="L447" s="115"/>
      <c r="M447" s="115"/>
      <c r="N447" s="115"/>
      <c r="O447" s="115"/>
    </row>
    <row r="448" ht="15.75" customHeight="1">
      <c r="I448" s="115"/>
      <c r="J448" s="115"/>
      <c r="K448" s="115"/>
      <c r="L448" s="115"/>
      <c r="M448" s="115"/>
      <c r="N448" s="115"/>
      <c r="O448" s="115"/>
    </row>
    <row r="449" ht="15.75" customHeight="1">
      <c r="I449" s="115"/>
      <c r="J449" s="115"/>
      <c r="K449" s="115"/>
      <c r="L449" s="115"/>
      <c r="M449" s="115"/>
      <c r="N449" s="115"/>
      <c r="O449" s="115"/>
    </row>
    <row r="450" ht="15.75" customHeight="1">
      <c r="I450" s="115"/>
      <c r="J450" s="115"/>
      <c r="K450" s="115"/>
      <c r="L450" s="115"/>
      <c r="M450" s="115"/>
      <c r="N450" s="115"/>
      <c r="O450" s="115"/>
    </row>
    <row r="451" ht="15.75" customHeight="1">
      <c r="I451" s="115"/>
      <c r="J451" s="115"/>
      <c r="K451" s="115"/>
      <c r="L451" s="115"/>
      <c r="M451" s="115"/>
      <c r="N451" s="115"/>
      <c r="O451" s="115"/>
    </row>
    <row r="452" ht="15.75" customHeight="1">
      <c r="I452" s="115"/>
      <c r="J452" s="115"/>
      <c r="K452" s="115"/>
      <c r="L452" s="115"/>
      <c r="M452" s="115"/>
      <c r="N452" s="115"/>
      <c r="O452" s="115"/>
    </row>
    <row r="453" ht="15.75" customHeight="1">
      <c r="I453" s="115"/>
      <c r="J453" s="115"/>
      <c r="K453" s="115"/>
      <c r="L453" s="115"/>
      <c r="M453" s="115"/>
      <c r="N453" s="115"/>
      <c r="O453" s="115"/>
    </row>
    <row r="454" ht="15.75" customHeight="1">
      <c r="I454" s="115"/>
      <c r="J454" s="115"/>
      <c r="K454" s="115"/>
      <c r="L454" s="115"/>
      <c r="M454" s="115"/>
      <c r="N454" s="115"/>
      <c r="O454" s="115"/>
    </row>
    <row r="455" ht="15.75" customHeight="1">
      <c r="I455" s="115"/>
      <c r="J455" s="115"/>
      <c r="K455" s="115"/>
      <c r="L455" s="115"/>
      <c r="M455" s="115"/>
      <c r="N455" s="115"/>
      <c r="O455" s="115"/>
    </row>
    <row r="456" ht="15.75" customHeight="1">
      <c r="I456" s="115"/>
      <c r="J456" s="115"/>
      <c r="K456" s="115"/>
      <c r="L456" s="115"/>
      <c r="M456" s="115"/>
      <c r="N456" s="115"/>
      <c r="O456" s="115"/>
    </row>
    <row r="457" ht="15.75" customHeight="1">
      <c r="I457" s="115"/>
      <c r="J457" s="115"/>
      <c r="K457" s="115"/>
      <c r="L457" s="115"/>
      <c r="M457" s="115"/>
      <c r="N457" s="115"/>
      <c r="O457" s="115"/>
    </row>
    <row r="458" ht="15.75" customHeight="1">
      <c r="I458" s="115"/>
      <c r="J458" s="115"/>
      <c r="K458" s="115"/>
      <c r="L458" s="115"/>
      <c r="M458" s="115"/>
      <c r="N458" s="115"/>
      <c r="O458" s="115"/>
    </row>
    <row r="459" ht="15.75" customHeight="1">
      <c r="I459" s="115"/>
      <c r="J459" s="115"/>
      <c r="K459" s="115"/>
      <c r="L459" s="115"/>
      <c r="M459" s="115"/>
      <c r="N459" s="115"/>
      <c r="O459" s="115"/>
    </row>
    <row r="460" ht="15.75" customHeight="1">
      <c r="I460" s="115"/>
      <c r="J460" s="115"/>
      <c r="K460" s="115"/>
      <c r="L460" s="115"/>
      <c r="M460" s="115"/>
      <c r="N460" s="115"/>
      <c r="O460" s="115"/>
    </row>
    <row r="461" ht="15.75" customHeight="1">
      <c r="I461" s="115"/>
      <c r="J461" s="115"/>
      <c r="K461" s="115"/>
      <c r="L461" s="115"/>
      <c r="M461" s="115"/>
      <c r="N461" s="115"/>
      <c r="O461" s="115"/>
    </row>
    <row r="462" ht="15.75" customHeight="1">
      <c r="I462" s="115"/>
      <c r="J462" s="115"/>
      <c r="K462" s="115"/>
      <c r="L462" s="115"/>
      <c r="M462" s="115"/>
      <c r="N462" s="115"/>
      <c r="O462" s="115"/>
    </row>
    <row r="463" ht="15.75" customHeight="1">
      <c r="I463" s="115"/>
      <c r="J463" s="115"/>
      <c r="K463" s="115"/>
      <c r="L463" s="115"/>
      <c r="M463" s="115"/>
      <c r="N463" s="115"/>
      <c r="O463" s="115"/>
    </row>
    <row r="464" ht="15.75" customHeight="1">
      <c r="I464" s="115"/>
      <c r="J464" s="115"/>
      <c r="K464" s="115"/>
      <c r="L464" s="115"/>
      <c r="M464" s="115"/>
      <c r="N464" s="115"/>
      <c r="O464" s="115"/>
    </row>
    <row r="465" ht="15.75" customHeight="1">
      <c r="I465" s="115"/>
      <c r="J465" s="115"/>
      <c r="K465" s="115"/>
      <c r="L465" s="115"/>
      <c r="M465" s="115"/>
      <c r="N465" s="115"/>
      <c r="O465" s="115"/>
    </row>
    <row r="466" ht="15.75" customHeight="1">
      <c r="I466" s="115"/>
      <c r="J466" s="115"/>
      <c r="K466" s="115"/>
      <c r="L466" s="115"/>
      <c r="M466" s="115"/>
      <c r="N466" s="115"/>
      <c r="O466" s="115"/>
    </row>
    <row r="467" ht="15.75" customHeight="1">
      <c r="I467" s="115"/>
      <c r="J467" s="115"/>
      <c r="K467" s="115"/>
      <c r="L467" s="115"/>
      <c r="M467" s="115"/>
      <c r="N467" s="115"/>
      <c r="O467" s="115"/>
    </row>
    <row r="468" ht="15.75" customHeight="1">
      <c r="I468" s="115"/>
      <c r="J468" s="115"/>
      <c r="K468" s="115"/>
      <c r="L468" s="115"/>
      <c r="M468" s="115"/>
      <c r="N468" s="115"/>
      <c r="O468" s="115"/>
    </row>
    <row r="469" ht="15.75" customHeight="1">
      <c r="I469" s="115"/>
      <c r="J469" s="115"/>
      <c r="K469" s="115"/>
      <c r="L469" s="115"/>
      <c r="M469" s="115"/>
      <c r="N469" s="115"/>
      <c r="O469" s="115"/>
    </row>
    <row r="470" ht="15.75" customHeight="1">
      <c r="I470" s="115"/>
      <c r="J470" s="115"/>
      <c r="K470" s="115"/>
      <c r="L470" s="115"/>
      <c r="M470" s="115"/>
      <c r="N470" s="115"/>
      <c r="O470" s="115"/>
    </row>
    <row r="471" ht="15.75" customHeight="1">
      <c r="I471" s="115"/>
      <c r="J471" s="115"/>
      <c r="K471" s="115"/>
      <c r="L471" s="115"/>
      <c r="M471" s="115"/>
      <c r="N471" s="115"/>
      <c r="O471" s="115"/>
    </row>
    <row r="472" ht="15.75" customHeight="1">
      <c r="I472" s="115"/>
      <c r="J472" s="115"/>
      <c r="K472" s="115"/>
      <c r="L472" s="115"/>
      <c r="M472" s="115"/>
      <c r="N472" s="115"/>
      <c r="O472" s="115"/>
    </row>
    <row r="473" ht="15.75" customHeight="1">
      <c r="I473" s="115"/>
      <c r="J473" s="115"/>
      <c r="K473" s="115"/>
      <c r="L473" s="115"/>
      <c r="M473" s="115"/>
      <c r="N473" s="115"/>
      <c r="O473" s="115"/>
    </row>
    <row r="474" ht="15.75" customHeight="1">
      <c r="I474" s="115"/>
      <c r="J474" s="115"/>
      <c r="K474" s="115"/>
      <c r="L474" s="115"/>
      <c r="M474" s="115"/>
      <c r="N474" s="115"/>
      <c r="O474" s="115"/>
    </row>
    <row r="475" ht="15.75" customHeight="1">
      <c r="I475" s="115"/>
      <c r="J475" s="115"/>
      <c r="K475" s="115"/>
      <c r="L475" s="115"/>
      <c r="M475" s="115"/>
      <c r="N475" s="115"/>
      <c r="O475" s="115"/>
    </row>
    <row r="476" ht="15.75" customHeight="1">
      <c r="I476" s="115"/>
      <c r="J476" s="115"/>
      <c r="K476" s="115"/>
      <c r="L476" s="115"/>
      <c r="M476" s="115"/>
      <c r="N476" s="115"/>
      <c r="O476" s="115"/>
    </row>
    <row r="477" ht="15.75" customHeight="1">
      <c r="I477" s="115"/>
      <c r="J477" s="115"/>
      <c r="K477" s="115"/>
      <c r="L477" s="115"/>
      <c r="M477" s="115"/>
      <c r="N477" s="115"/>
      <c r="O477" s="115"/>
    </row>
    <row r="478" ht="15.75" customHeight="1">
      <c r="I478" s="115"/>
      <c r="J478" s="115"/>
      <c r="K478" s="115"/>
      <c r="L478" s="115"/>
      <c r="M478" s="115"/>
      <c r="N478" s="115"/>
      <c r="O478" s="115"/>
    </row>
    <row r="479" ht="15.75" customHeight="1">
      <c r="I479" s="115"/>
      <c r="J479" s="115"/>
      <c r="K479" s="115"/>
      <c r="L479" s="115"/>
      <c r="M479" s="115"/>
      <c r="N479" s="115"/>
      <c r="O479" s="115"/>
    </row>
    <row r="480" ht="15.75" customHeight="1">
      <c r="I480" s="115"/>
      <c r="J480" s="115"/>
      <c r="K480" s="115"/>
      <c r="L480" s="115"/>
      <c r="M480" s="115"/>
      <c r="N480" s="115"/>
      <c r="O480" s="115"/>
    </row>
    <row r="481" ht="15.75" customHeight="1">
      <c r="I481" s="115"/>
      <c r="J481" s="115"/>
      <c r="K481" s="115"/>
      <c r="L481" s="115"/>
      <c r="M481" s="115"/>
      <c r="N481" s="115"/>
      <c r="O481" s="115"/>
    </row>
    <row r="482" ht="15.75" customHeight="1">
      <c r="I482" s="115"/>
      <c r="J482" s="115"/>
      <c r="K482" s="115"/>
      <c r="L482" s="115"/>
      <c r="M482" s="115"/>
      <c r="N482" s="115"/>
      <c r="O482" s="115"/>
    </row>
    <row r="483" ht="15.75" customHeight="1">
      <c r="I483" s="115"/>
      <c r="J483" s="115"/>
      <c r="K483" s="115"/>
      <c r="L483" s="115"/>
      <c r="M483" s="115"/>
      <c r="N483" s="115"/>
      <c r="O483" s="115"/>
    </row>
    <row r="484" ht="15.75" customHeight="1">
      <c r="I484" s="115"/>
      <c r="J484" s="115"/>
      <c r="K484" s="115"/>
      <c r="L484" s="115"/>
      <c r="M484" s="115"/>
      <c r="N484" s="115"/>
      <c r="O484" s="115"/>
    </row>
    <row r="485" ht="15.75" customHeight="1">
      <c r="I485" s="115"/>
      <c r="J485" s="115"/>
      <c r="K485" s="115"/>
      <c r="L485" s="115"/>
      <c r="M485" s="115"/>
      <c r="N485" s="115"/>
      <c r="O485" s="115"/>
    </row>
    <row r="486" ht="15.75" customHeight="1">
      <c r="I486" s="115"/>
      <c r="J486" s="115"/>
      <c r="K486" s="115"/>
      <c r="L486" s="115"/>
      <c r="M486" s="115"/>
      <c r="N486" s="115"/>
      <c r="O486" s="115"/>
    </row>
    <row r="487" ht="15.75" customHeight="1">
      <c r="I487" s="115"/>
      <c r="J487" s="115"/>
      <c r="K487" s="115"/>
      <c r="L487" s="115"/>
      <c r="M487" s="115"/>
      <c r="N487" s="115"/>
      <c r="O487" s="115"/>
    </row>
    <row r="488" ht="15.75" customHeight="1">
      <c r="I488" s="115"/>
      <c r="J488" s="115"/>
      <c r="K488" s="115"/>
      <c r="L488" s="115"/>
      <c r="M488" s="115"/>
      <c r="N488" s="115"/>
      <c r="O488" s="115"/>
    </row>
    <row r="489" ht="15.75" customHeight="1">
      <c r="I489" s="115"/>
      <c r="J489" s="115"/>
      <c r="K489" s="115"/>
      <c r="L489" s="115"/>
      <c r="M489" s="115"/>
      <c r="N489" s="115"/>
      <c r="O489" s="115"/>
    </row>
    <row r="490" ht="15.75" customHeight="1">
      <c r="I490" s="115"/>
      <c r="J490" s="115"/>
      <c r="K490" s="115"/>
      <c r="L490" s="115"/>
      <c r="M490" s="115"/>
      <c r="N490" s="115"/>
      <c r="O490" s="115"/>
    </row>
    <row r="491" ht="15.75" customHeight="1">
      <c r="I491" s="115"/>
      <c r="J491" s="115"/>
      <c r="K491" s="115"/>
      <c r="L491" s="115"/>
      <c r="M491" s="115"/>
      <c r="N491" s="115"/>
      <c r="O491" s="115"/>
    </row>
    <row r="492" ht="15.75" customHeight="1">
      <c r="I492" s="115"/>
      <c r="J492" s="115"/>
      <c r="K492" s="115"/>
      <c r="L492" s="115"/>
      <c r="M492" s="115"/>
      <c r="N492" s="115"/>
      <c r="O492" s="115"/>
    </row>
    <row r="493" ht="15.75" customHeight="1">
      <c r="I493" s="115"/>
      <c r="J493" s="115"/>
      <c r="K493" s="115"/>
      <c r="L493" s="115"/>
      <c r="M493" s="115"/>
      <c r="N493" s="115"/>
      <c r="O493" s="115"/>
    </row>
    <row r="494" ht="15.75" customHeight="1">
      <c r="I494" s="115"/>
      <c r="J494" s="115"/>
      <c r="K494" s="115"/>
      <c r="L494" s="115"/>
      <c r="M494" s="115"/>
      <c r="N494" s="115"/>
      <c r="O494" s="115"/>
    </row>
    <row r="495" ht="15.75" customHeight="1">
      <c r="I495" s="115"/>
      <c r="J495" s="115"/>
      <c r="K495" s="115"/>
      <c r="L495" s="115"/>
      <c r="M495" s="115"/>
      <c r="N495" s="115"/>
      <c r="O495" s="115"/>
    </row>
    <row r="496" ht="15.75" customHeight="1">
      <c r="I496" s="115"/>
      <c r="J496" s="115"/>
      <c r="K496" s="115"/>
      <c r="L496" s="115"/>
      <c r="M496" s="115"/>
      <c r="N496" s="115"/>
      <c r="O496" s="115"/>
    </row>
    <row r="497" ht="15.75" customHeight="1">
      <c r="I497" s="115"/>
      <c r="J497" s="115"/>
      <c r="K497" s="115"/>
      <c r="L497" s="115"/>
      <c r="M497" s="115"/>
      <c r="N497" s="115"/>
      <c r="O497" s="115"/>
    </row>
    <row r="498" ht="15.75" customHeight="1">
      <c r="I498" s="115"/>
      <c r="J498" s="115"/>
      <c r="K498" s="115"/>
      <c r="L498" s="115"/>
      <c r="M498" s="115"/>
      <c r="N498" s="115"/>
      <c r="O498" s="115"/>
    </row>
    <row r="499" ht="15.75" customHeight="1">
      <c r="I499" s="115"/>
      <c r="J499" s="115"/>
      <c r="K499" s="115"/>
      <c r="L499" s="115"/>
      <c r="M499" s="115"/>
      <c r="N499" s="115"/>
      <c r="O499" s="115"/>
    </row>
    <row r="500" ht="15.75" customHeight="1">
      <c r="I500" s="115"/>
      <c r="J500" s="115"/>
      <c r="K500" s="115"/>
      <c r="L500" s="115"/>
      <c r="M500" s="115"/>
      <c r="N500" s="115"/>
      <c r="O500" s="115"/>
    </row>
    <row r="501" ht="15.75" customHeight="1">
      <c r="I501" s="115"/>
      <c r="J501" s="115"/>
      <c r="K501" s="115"/>
      <c r="L501" s="115"/>
      <c r="M501" s="115"/>
      <c r="N501" s="115"/>
      <c r="O501" s="115"/>
    </row>
    <row r="502" ht="15.75" customHeight="1">
      <c r="I502" s="115"/>
      <c r="J502" s="115"/>
      <c r="K502" s="115"/>
      <c r="L502" s="115"/>
      <c r="M502" s="115"/>
      <c r="N502" s="115"/>
      <c r="O502" s="115"/>
    </row>
    <row r="503" ht="15.75" customHeight="1">
      <c r="I503" s="115"/>
      <c r="J503" s="115"/>
      <c r="K503" s="115"/>
      <c r="L503" s="115"/>
      <c r="M503" s="115"/>
      <c r="N503" s="115"/>
      <c r="O503" s="115"/>
    </row>
    <row r="504" ht="15.75" customHeight="1">
      <c r="I504" s="115"/>
      <c r="J504" s="115"/>
      <c r="K504" s="115"/>
      <c r="L504" s="115"/>
      <c r="M504" s="115"/>
      <c r="N504" s="115"/>
      <c r="O504" s="115"/>
    </row>
    <row r="505" ht="15.75" customHeight="1">
      <c r="I505" s="115"/>
      <c r="J505" s="115"/>
      <c r="K505" s="115"/>
      <c r="L505" s="115"/>
      <c r="M505" s="115"/>
      <c r="N505" s="115"/>
      <c r="O505" s="115"/>
    </row>
    <row r="506" ht="15.75" customHeight="1">
      <c r="I506" s="115"/>
      <c r="J506" s="115"/>
      <c r="K506" s="115"/>
      <c r="L506" s="115"/>
      <c r="M506" s="115"/>
      <c r="N506" s="115"/>
      <c r="O506" s="115"/>
    </row>
    <row r="507" ht="15.75" customHeight="1">
      <c r="I507" s="115"/>
      <c r="J507" s="115"/>
      <c r="K507" s="115"/>
      <c r="L507" s="115"/>
      <c r="M507" s="115"/>
      <c r="N507" s="115"/>
      <c r="O507" s="115"/>
    </row>
    <row r="508" ht="15.75" customHeight="1">
      <c r="I508" s="115"/>
      <c r="J508" s="115"/>
      <c r="K508" s="115"/>
      <c r="L508" s="115"/>
      <c r="M508" s="115"/>
      <c r="N508" s="115"/>
      <c r="O508" s="115"/>
    </row>
    <row r="509" ht="15.75" customHeight="1">
      <c r="I509" s="115"/>
      <c r="J509" s="115"/>
      <c r="K509" s="115"/>
      <c r="L509" s="115"/>
      <c r="M509" s="115"/>
      <c r="N509" s="115"/>
      <c r="O509" s="115"/>
    </row>
    <row r="510" ht="15.75" customHeight="1">
      <c r="I510" s="115"/>
      <c r="J510" s="115"/>
      <c r="K510" s="115"/>
      <c r="L510" s="115"/>
      <c r="M510" s="115"/>
      <c r="N510" s="115"/>
      <c r="O510" s="115"/>
    </row>
    <row r="511" ht="15.75" customHeight="1">
      <c r="I511" s="115"/>
      <c r="J511" s="115"/>
      <c r="K511" s="115"/>
      <c r="L511" s="115"/>
      <c r="M511" s="115"/>
      <c r="N511" s="115"/>
      <c r="O511" s="115"/>
    </row>
    <row r="512" ht="15.75" customHeight="1">
      <c r="I512" s="115"/>
      <c r="J512" s="115"/>
      <c r="K512" s="115"/>
      <c r="L512" s="115"/>
      <c r="M512" s="115"/>
      <c r="N512" s="115"/>
      <c r="O512" s="115"/>
    </row>
    <row r="513" ht="15.75" customHeight="1">
      <c r="I513" s="115"/>
      <c r="J513" s="115"/>
      <c r="K513" s="115"/>
      <c r="L513" s="115"/>
      <c r="M513" s="115"/>
      <c r="N513" s="115"/>
      <c r="O513" s="115"/>
    </row>
    <row r="514" ht="15.75" customHeight="1">
      <c r="I514" s="115"/>
      <c r="J514" s="115"/>
      <c r="K514" s="115"/>
      <c r="L514" s="115"/>
      <c r="M514" s="115"/>
      <c r="N514" s="115"/>
      <c r="O514" s="115"/>
    </row>
    <row r="515" ht="15.75" customHeight="1">
      <c r="I515" s="115"/>
      <c r="J515" s="115"/>
      <c r="K515" s="115"/>
      <c r="L515" s="115"/>
      <c r="M515" s="115"/>
      <c r="N515" s="115"/>
      <c r="O515" s="115"/>
    </row>
    <row r="516" ht="15.75" customHeight="1">
      <c r="I516" s="115"/>
      <c r="J516" s="115"/>
      <c r="K516" s="115"/>
      <c r="L516" s="115"/>
      <c r="M516" s="115"/>
      <c r="N516" s="115"/>
      <c r="O516" s="115"/>
    </row>
    <row r="517" ht="15.75" customHeight="1">
      <c r="I517" s="115"/>
      <c r="J517" s="115"/>
      <c r="K517" s="115"/>
      <c r="L517" s="115"/>
      <c r="M517" s="115"/>
      <c r="N517" s="115"/>
      <c r="O517" s="115"/>
    </row>
    <row r="518" ht="15.75" customHeight="1">
      <c r="I518" s="115"/>
      <c r="J518" s="115"/>
      <c r="K518" s="115"/>
      <c r="L518" s="115"/>
      <c r="M518" s="115"/>
      <c r="N518" s="115"/>
      <c r="O518" s="115"/>
    </row>
    <row r="519" ht="15.75" customHeight="1">
      <c r="I519" s="115"/>
      <c r="J519" s="115"/>
      <c r="K519" s="115"/>
      <c r="L519" s="115"/>
      <c r="M519" s="115"/>
      <c r="N519" s="115"/>
      <c r="O519" s="115"/>
    </row>
    <row r="520" ht="15.75" customHeight="1">
      <c r="I520" s="115"/>
      <c r="J520" s="115"/>
      <c r="K520" s="115"/>
      <c r="L520" s="115"/>
      <c r="M520" s="115"/>
      <c r="N520" s="115"/>
      <c r="O520" s="115"/>
    </row>
    <row r="521" ht="15.75" customHeight="1">
      <c r="I521" s="115"/>
      <c r="J521" s="115"/>
      <c r="K521" s="115"/>
      <c r="L521" s="115"/>
      <c r="M521" s="115"/>
      <c r="N521" s="115"/>
      <c r="O521" s="115"/>
    </row>
    <row r="522" ht="15.75" customHeight="1">
      <c r="I522" s="115"/>
      <c r="J522" s="115"/>
      <c r="K522" s="115"/>
      <c r="L522" s="115"/>
      <c r="M522" s="115"/>
      <c r="N522" s="115"/>
      <c r="O522" s="115"/>
    </row>
    <row r="523" ht="15.75" customHeight="1">
      <c r="I523" s="115"/>
      <c r="J523" s="115"/>
      <c r="K523" s="115"/>
      <c r="L523" s="115"/>
      <c r="M523" s="115"/>
      <c r="N523" s="115"/>
      <c r="O523" s="115"/>
    </row>
    <row r="524" ht="15.75" customHeight="1">
      <c r="I524" s="115"/>
      <c r="J524" s="115"/>
      <c r="K524" s="115"/>
      <c r="L524" s="115"/>
      <c r="M524" s="115"/>
      <c r="N524" s="115"/>
      <c r="O524" s="115"/>
    </row>
    <row r="525" ht="15.75" customHeight="1">
      <c r="I525" s="115"/>
      <c r="J525" s="115"/>
      <c r="K525" s="115"/>
      <c r="L525" s="115"/>
      <c r="M525" s="115"/>
      <c r="N525" s="115"/>
      <c r="O525" s="115"/>
    </row>
    <row r="526" ht="15.75" customHeight="1">
      <c r="I526" s="115"/>
      <c r="J526" s="115"/>
      <c r="K526" s="115"/>
      <c r="L526" s="115"/>
      <c r="M526" s="115"/>
      <c r="N526" s="115"/>
      <c r="O526" s="115"/>
    </row>
    <row r="527" ht="15.75" customHeight="1">
      <c r="I527" s="115"/>
      <c r="J527" s="115"/>
      <c r="K527" s="115"/>
      <c r="L527" s="115"/>
      <c r="M527" s="115"/>
      <c r="N527" s="115"/>
      <c r="O527" s="115"/>
    </row>
    <row r="528" ht="15.75" customHeight="1">
      <c r="I528" s="115"/>
      <c r="J528" s="115"/>
      <c r="K528" s="115"/>
      <c r="L528" s="115"/>
      <c r="M528" s="115"/>
      <c r="N528" s="115"/>
      <c r="O528" s="115"/>
    </row>
    <row r="529" ht="15.75" customHeight="1">
      <c r="I529" s="115"/>
      <c r="J529" s="115"/>
      <c r="K529" s="115"/>
      <c r="L529" s="115"/>
      <c r="M529" s="115"/>
      <c r="N529" s="115"/>
      <c r="O529" s="115"/>
    </row>
    <row r="530" ht="15.75" customHeight="1">
      <c r="I530" s="115"/>
      <c r="J530" s="115"/>
      <c r="K530" s="115"/>
      <c r="L530" s="115"/>
      <c r="M530" s="115"/>
      <c r="N530" s="115"/>
      <c r="O530" s="115"/>
    </row>
    <row r="531" ht="15.75" customHeight="1">
      <c r="I531" s="115"/>
      <c r="J531" s="115"/>
      <c r="K531" s="115"/>
      <c r="L531" s="115"/>
      <c r="M531" s="115"/>
      <c r="N531" s="115"/>
      <c r="O531" s="115"/>
    </row>
    <row r="532" ht="15.75" customHeight="1">
      <c r="I532" s="115"/>
      <c r="J532" s="115"/>
      <c r="K532" s="115"/>
      <c r="L532" s="115"/>
      <c r="M532" s="115"/>
      <c r="N532" s="115"/>
      <c r="O532" s="115"/>
    </row>
    <row r="533" ht="15.75" customHeight="1">
      <c r="I533" s="115"/>
      <c r="J533" s="115"/>
      <c r="K533" s="115"/>
      <c r="L533" s="115"/>
      <c r="M533" s="115"/>
      <c r="N533" s="115"/>
      <c r="O533" s="115"/>
    </row>
    <row r="534" ht="15.75" customHeight="1">
      <c r="I534" s="115"/>
      <c r="J534" s="115"/>
      <c r="K534" s="115"/>
      <c r="L534" s="115"/>
      <c r="M534" s="115"/>
      <c r="N534" s="115"/>
      <c r="O534" s="115"/>
    </row>
    <row r="535" ht="15.75" customHeight="1">
      <c r="I535" s="115"/>
      <c r="J535" s="115"/>
      <c r="K535" s="115"/>
      <c r="L535" s="115"/>
      <c r="M535" s="115"/>
      <c r="N535" s="115"/>
      <c r="O535" s="115"/>
    </row>
    <row r="536" ht="15.75" customHeight="1">
      <c r="I536" s="115"/>
      <c r="J536" s="115"/>
      <c r="K536" s="115"/>
      <c r="L536" s="115"/>
      <c r="M536" s="115"/>
      <c r="N536" s="115"/>
      <c r="O536" s="115"/>
    </row>
    <row r="537" ht="15.75" customHeight="1">
      <c r="I537" s="115"/>
      <c r="J537" s="115"/>
      <c r="K537" s="115"/>
      <c r="L537" s="115"/>
      <c r="M537" s="115"/>
      <c r="N537" s="115"/>
      <c r="O537" s="115"/>
    </row>
    <row r="538" ht="15.75" customHeight="1">
      <c r="I538" s="115"/>
      <c r="J538" s="115"/>
      <c r="K538" s="115"/>
      <c r="L538" s="115"/>
      <c r="M538" s="115"/>
      <c r="N538" s="115"/>
      <c r="O538" s="115"/>
    </row>
    <row r="539" ht="15.75" customHeight="1">
      <c r="I539" s="115"/>
      <c r="J539" s="115"/>
      <c r="K539" s="115"/>
      <c r="L539" s="115"/>
      <c r="M539" s="115"/>
      <c r="N539" s="115"/>
      <c r="O539" s="115"/>
    </row>
    <row r="540" ht="15.75" customHeight="1">
      <c r="I540" s="115"/>
      <c r="J540" s="115"/>
      <c r="K540" s="115"/>
      <c r="L540" s="115"/>
      <c r="M540" s="115"/>
      <c r="N540" s="115"/>
      <c r="O540" s="115"/>
    </row>
    <row r="541" ht="15.75" customHeight="1">
      <c r="I541" s="115"/>
      <c r="J541" s="115"/>
      <c r="K541" s="115"/>
      <c r="L541" s="115"/>
      <c r="M541" s="115"/>
      <c r="N541" s="115"/>
      <c r="O541" s="115"/>
    </row>
    <row r="542" ht="15.75" customHeight="1">
      <c r="I542" s="115"/>
      <c r="J542" s="115"/>
      <c r="K542" s="115"/>
      <c r="L542" s="115"/>
      <c r="M542" s="115"/>
      <c r="N542" s="115"/>
      <c r="O542" s="115"/>
    </row>
    <row r="543" ht="15.75" customHeight="1">
      <c r="I543" s="115"/>
      <c r="J543" s="115"/>
      <c r="K543" s="115"/>
      <c r="L543" s="115"/>
      <c r="M543" s="115"/>
      <c r="N543" s="115"/>
      <c r="O543" s="115"/>
    </row>
    <row r="544" ht="15.75" customHeight="1">
      <c r="I544" s="115"/>
      <c r="J544" s="115"/>
      <c r="K544" s="115"/>
      <c r="L544" s="115"/>
      <c r="M544" s="115"/>
      <c r="N544" s="115"/>
      <c r="O544" s="115"/>
    </row>
    <row r="545" ht="15.75" customHeight="1">
      <c r="I545" s="115"/>
      <c r="J545" s="115"/>
      <c r="K545" s="115"/>
      <c r="L545" s="115"/>
      <c r="M545" s="115"/>
      <c r="N545" s="115"/>
      <c r="O545" s="115"/>
    </row>
    <row r="546" ht="15.75" customHeight="1">
      <c r="I546" s="115"/>
      <c r="J546" s="115"/>
      <c r="K546" s="115"/>
      <c r="L546" s="115"/>
      <c r="M546" s="115"/>
      <c r="N546" s="115"/>
      <c r="O546" s="115"/>
    </row>
    <row r="547" ht="15.75" customHeight="1">
      <c r="I547" s="115"/>
      <c r="J547" s="115"/>
      <c r="K547" s="115"/>
      <c r="L547" s="115"/>
      <c r="M547" s="115"/>
      <c r="N547" s="115"/>
      <c r="O547" s="115"/>
    </row>
    <row r="548" ht="15.75" customHeight="1">
      <c r="I548" s="115"/>
      <c r="J548" s="115"/>
      <c r="K548" s="115"/>
      <c r="L548" s="115"/>
      <c r="M548" s="115"/>
      <c r="N548" s="115"/>
      <c r="O548" s="115"/>
    </row>
    <row r="549" ht="15.75" customHeight="1">
      <c r="I549" s="115"/>
      <c r="J549" s="115"/>
      <c r="K549" s="115"/>
      <c r="L549" s="115"/>
      <c r="M549" s="115"/>
      <c r="N549" s="115"/>
      <c r="O549" s="115"/>
    </row>
    <row r="550" ht="15.75" customHeight="1">
      <c r="I550" s="115"/>
      <c r="J550" s="115"/>
      <c r="K550" s="115"/>
      <c r="L550" s="115"/>
      <c r="M550" s="115"/>
      <c r="N550" s="115"/>
      <c r="O550" s="115"/>
    </row>
    <row r="551" ht="15.75" customHeight="1">
      <c r="I551" s="115"/>
      <c r="J551" s="115"/>
      <c r="K551" s="115"/>
      <c r="L551" s="115"/>
      <c r="M551" s="115"/>
      <c r="N551" s="115"/>
      <c r="O551" s="115"/>
    </row>
    <row r="552" ht="15.75" customHeight="1">
      <c r="I552" s="115"/>
      <c r="J552" s="115"/>
      <c r="K552" s="115"/>
      <c r="L552" s="115"/>
      <c r="M552" s="115"/>
      <c r="N552" s="115"/>
      <c r="O552" s="115"/>
    </row>
    <row r="553" ht="15.75" customHeight="1">
      <c r="I553" s="115"/>
      <c r="J553" s="115"/>
      <c r="K553" s="115"/>
      <c r="L553" s="115"/>
      <c r="M553" s="115"/>
      <c r="N553" s="115"/>
      <c r="O553" s="115"/>
    </row>
    <row r="554" ht="15.75" customHeight="1">
      <c r="I554" s="115"/>
      <c r="J554" s="115"/>
      <c r="K554" s="115"/>
      <c r="L554" s="115"/>
      <c r="M554" s="115"/>
      <c r="N554" s="115"/>
      <c r="O554" s="115"/>
    </row>
    <row r="555" ht="15.75" customHeight="1">
      <c r="I555" s="115"/>
      <c r="J555" s="115"/>
      <c r="K555" s="115"/>
      <c r="L555" s="115"/>
      <c r="M555" s="115"/>
      <c r="N555" s="115"/>
      <c r="O555" s="115"/>
    </row>
    <row r="556" ht="15.75" customHeight="1">
      <c r="I556" s="115"/>
      <c r="J556" s="115"/>
      <c r="K556" s="115"/>
      <c r="L556" s="115"/>
      <c r="M556" s="115"/>
      <c r="N556" s="115"/>
      <c r="O556" s="115"/>
    </row>
    <row r="557" ht="15.75" customHeight="1">
      <c r="I557" s="115"/>
      <c r="J557" s="115"/>
      <c r="K557" s="115"/>
      <c r="L557" s="115"/>
      <c r="M557" s="115"/>
      <c r="N557" s="115"/>
      <c r="O557" s="115"/>
    </row>
    <row r="558" ht="15.75" customHeight="1">
      <c r="I558" s="115"/>
      <c r="J558" s="115"/>
      <c r="K558" s="115"/>
      <c r="L558" s="115"/>
      <c r="M558" s="115"/>
      <c r="N558" s="115"/>
      <c r="O558" s="115"/>
    </row>
    <row r="559" ht="15.75" customHeight="1">
      <c r="I559" s="115"/>
      <c r="J559" s="115"/>
      <c r="K559" s="115"/>
      <c r="L559" s="115"/>
      <c r="M559" s="115"/>
      <c r="N559" s="115"/>
      <c r="O559" s="115"/>
    </row>
    <row r="560" ht="15.75" customHeight="1">
      <c r="I560" s="115"/>
      <c r="J560" s="115"/>
      <c r="K560" s="115"/>
      <c r="L560" s="115"/>
      <c r="M560" s="115"/>
      <c r="N560" s="115"/>
      <c r="O560" s="115"/>
    </row>
    <row r="561" ht="15.75" customHeight="1">
      <c r="I561" s="115"/>
      <c r="J561" s="115"/>
      <c r="K561" s="115"/>
      <c r="L561" s="115"/>
      <c r="M561" s="115"/>
      <c r="N561" s="115"/>
      <c r="O561" s="115"/>
    </row>
    <row r="562" ht="15.75" customHeight="1">
      <c r="I562" s="115"/>
      <c r="J562" s="115"/>
      <c r="K562" s="115"/>
      <c r="L562" s="115"/>
      <c r="M562" s="115"/>
      <c r="N562" s="115"/>
      <c r="O562" s="115"/>
    </row>
    <row r="563" ht="15.75" customHeight="1">
      <c r="I563" s="115"/>
      <c r="J563" s="115"/>
      <c r="K563" s="115"/>
      <c r="L563" s="115"/>
      <c r="M563" s="115"/>
      <c r="N563" s="115"/>
      <c r="O563" s="115"/>
    </row>
    <row r="564" ht="15.75" customHeight="1">
      <c r="I564" s="115"/>
      <c r="J564" s="115"/>
      <c r="K564" s="115"/>
      <c r="L564" s="115"/>
      <c r="M564" s="115"/>
      <c r="N564" s="115"/>
      <c r="O564" s="115"/>
    </row>
    <row r="565" ht="15.75" customHeight="1">
      <c r="I565" s="115"/>
      <c r="J565" s="115"/>
      <c r="K565" s="115"/>
      <c r="L565" s="115"/>
      <c r="M565" s="115"/>
      <c r="N565" s="115"/>
      <c r="O565" s="115"/>
    </row>
    <row r="566" ht="15.75" customHeight="1">
      <c r="I566" s="115"/>
      <c r="J566" s="115"/>
      <c r="K566" s="115"/>
      <c r="L566" s="115"/>
      <c r="M566" s="115"/>
      <c r="N566" s="115"/>
      <c r="O566" s="115"/>
    </row>
    <row r="567" ht="15.75" customHeight="1">
      <c r="I567" s="115"/>
      <c r="J567" s="115"/>
      <c r="K567" s="115"/>
      <c r="L567" s="115"/>
      <c r="M567" s="115"/>
      <c r="N567" s="115"/>
      <c r="O567" s="115"/>
    </row>
    <row r="568" ht="15.75" customHeight="1">
      <c r="I568" s="115"/>
      <c r="J568" s="115"/>
      <c r="K568" s="115"/>
      <c r="L568" s="115"/>
      <c r="M568" s="115"/>
      <c r="N568" s="115"/>
      <c r="O568" s="115"/>
    </row>
    <row r="569" ht="15.75" customHeight="1">
      <c r="I569" s="115"/>
      <c r="J569" s="115"/>
      <c r="K569" s="115"/>
      <c r="L569" s="115"/>
      <c r="M569" s="115"/>
      <c r="N569" s="115"/>
      <c r="O569" s="115"/>
    </row>
    <row r="570" ht="15.75" customHeight="1">
      <c r="I570" s="115"/>
      <c r="J570" s="115"/>
      <c r="K570" s="115"/>
      <c r="L570" s="115"/>
      <c r="M570" s="115"/>
      <c r="N570" s="115"/>
      <c r="O570" s="115"/>
    </row>
    <row r="571" ht="15.75" customHeight="1">
      <c r="I571" s="115"/>
      <c r="J571" s="115"/>
      <c r="K571" s="115"/>
      <c r="L571" s="115"/>
      <c r="M571" s="115"/>
      <c r="N571" s="115"/>
      <c r="O571" s="115"/>
    </row>
    <row r="572" ht="15.75" customHeight="1">
      <c r="I572" s="115"/>
      <c r="J572" s="115"/>
      <c r="K572" s="115"/>
      <c r="L572" s="115"/>
      <c r="M572" s="115"/>
      <c r="N572" s="115"/>
      <c r="O572" s="115"/>
    </row>
    <row r="573" ht="15.75" customHeight="1">
      <c r="I573" s="115"/>
      <c r="J573" s="115"/>
      <c r="K573" s="115"/>
      <c r="L573" s="115"/>
      <c r="M573" s="115"/>
      <c r="N573" s="115"/>
      <c r="O573" s="115"/>
    </row>
    <row r="574" ht="15.75" customHeight="1">
      <c r="I574" s="115"/>
      <c r="J574" s="115"/>
      <c r="K574" s="115"/>
      <c r="L574" s="115"/>
      <c r="M574" s="115"/>
      <c r="N574" s="115"/>
      <c r="O574" s="115"/>
    </row>
    <row r="575" ht="15.75" customHeight="1">
      <c r="I575" s="115"/>
      <c r="J575" s="115"/>
      <c r="K575" s="115"/>
      <c r="L575" s="115"/>
      <c r="M575" s="115"/>
      <c r="N575" s="115"/>
      <c r="O575" s="115"/>
    </row>
    <row r="576" ht="15.75" customHeight="1">
      <c r="I576" s="115"/>
      <c r="J576" s="115"/>
      <c r="K576" s="115"/>
      <c r="L576" s="115"/>
      <c r="M576" s="115"/>
      <c r="N576" s="115"/>
      <c r="O576" s="115"/>
    </row>
    <row r="577" ht="15.75" customHeight="1">
      <c r="I577" s="115"/>
      <c r="J577" s="115"/>
      <c r="K577" s="115"/>
      <c r="L577" s="115"/>
      <c r="M577" s="115"/>
      <c r="N577" s="115"/>
      <c r="O577" s="115"/>
    </row>
    <row r="578" ht="15.75" customHeight="1">
      <c r="I578" s="115"/>
      <c r="J578" s="115"/>
      <c r="K578" s="115"/>
      <c r="L578" s="115"/>
      <c r="M578" s="115"/>
      <c r="N578" s="115"/>
      <c r="O578" s="115"/>
    </row>
    <row r="579" ht="15.75" customHeight="1">
      <c r="I579" s="115"/>
      <c r="J579" s="115"/>
      <c r="K579" s="115"/>
      <c r="L579" s="115"/>
      <c r="M579" s="115"/>
      <c r="N579" s="115"/>
      <c r="O579" s="115"/>
    </row>
    <row r="580" ht="15.75" customHeight="1">
      <c r="I580" s="115"/>
      <c r="J580" s="115"/>
      <c r="K580" s="115"/>
      <c r="L580" s="115"/>
      <c r="M580" s="115"/>
      <c r="N580" s="115"/>
      <c r="O580" s="115"/>
    </row>
    <row r="581" ht="15.75" customHeight="1">
      <c r="I581" s="115"/>
      <c r="J581" s="115"/>
      <c r="K581" s="115"/>
      <c r="L581" s="115"/>
      <c r="M581" s="115"/>
      <c r="N581" s="115"/>
      <c r="O581" s="115"/>
    </row>
    <row r="582" ht="15.75" customHeight="1">
      <c r="I582" s="115"/>
      <c r="J582" s="115"/>
      <c r="K582" s="115"/>
      <c r="L582" s="115"/>
      <c r="M582" s="115"/>
      <c r="N582" s="115"/>
      <c r="O582" s="115"/>
    </row>
    <row r="583" ht="15.75" customHeight="1">
      <c r="I583" s="115"/>
      <c r="J583" s="115"/>
      <c r="K583" s="115"/>
      <c r="L583" s="115"/>
      <c r="M583" s="115"/>
      <c r="N583" s="115"/>
      <c r="O583" s="115"/>
    </row>
    <row r="584" ht="15.75" customHeight="1">
      <c r="I584" s="115"/>
      <c r="J584" s="115"/>
      <c r="K584" s="115"/>
      <c r="L584" s="115"/>
      <c r="M584" s="115"/>
      <c r="N584" s="115"/>
      <c r="O584" s="115"/>
    </row>
    <row r="585" ht="15.75" customHeight="1">
      <c r="I585" s="115"/>
      <c r="J585" s="115"/>
      <c r="K585" s="115"/>
      <c r="L585" s="115"/>
      <c r="M585" s="115"/>
      <c r="N585" s="115"/>
      <c r="O585" s="115"/>
    </row>
    <row r="586" ht="15.75" customHeight="1">
      <c r="I586" s="115"/>
      <c r="J586" s="115"/>
      <c r="K586" s="115"/>
      <c r="L586" s="115"/>
      <c r="M586" s="115"/>
      <c r="N586" s="115"/>
      <c r="O586" s="115"/>
    </row>
    <row r="587" ht="15.75" customHeight="1">
      <c r="I587" s="115"/>
      <c r="J587" s="115"/>
      <c r="K587" s="115"/>
      <c r="L587" s="115"/>
      <c r="M587" s="115"/>
      <c r="N587" s="115"/>
      <c r="O587" s="115"/>
    </row>
    <row r="588" ht="15.75" customHeight="1">
      <c r="I588" s="115"/>
      <c r="J588" s="115"/>
      <c r="K588" s="115"/>
      <c r="L588" s="115"/>
      <c r="M588" s="115"/>
      <c r="N588" s="115"/>
      <c r="O588" s="115"/>
    </row>
    <row r="589" ht="15.75" customHeight="1">
      <c r="I589" s="115"/>
      <c r="J589" s="115"/>
      <c r="K589" s="115"/>
      <c r="L589" s="115"/>
      <c r="M589" s="115"/>
      <c r="N589" s="115"/>
      <c r="O589" s="115"/>
    </row>
    <row r="590" ht="15.75" customHeight="1">
      <c r="I590" s="115"/>
      <c r="J590" s="115"/>
      <c r="K590" s="115"/>
      <c r="L590" s="115"/>
      <c r="M590" s="115"/>
      <c r="N590" s="115"/>
      <c r="O590" s="115"/>
    </row>
    <row r="591" ht="15.75" customHeight="1">
      <c r="I591" s="115"/>
      <c r="J591" s="115"/>
      <c r="K591" s="115"/>
      <c r="L591" s="115"/>
      <c r="M591" s="115"/>
      <c r="N591" s="115"/>
      <c r="O591" s="115"/>
    </row>
    <row r="592" ht="15.75" customHeight="1">
      <c r="I592" s="115"/>
      <c r="J592" s="115"/>
      <c r="K592" s="115"/>
      <c r="L592" s="115"/>
      <c r="M592" s="115"/>
      <c r="N592" s="115"/>
      <c r="O592" s="115"/>
    </row>
    <row r="593" ht="15.75" customHeight="1">
      <c r="I593" s="115"/>
      <c r="J593" s="115"/>
      <c r="K593" s="115"/>
      <c r="L593" s="115"/>
      <c r="M593" s="115"/>
      <c r="N593" s="115"/>
      <c r="O593" s="115"/>
    </row>
    <row r="594" ht="15.75" customHeight="1">
      <c r="I594" s="115"/>
      <c r="J594" s="115"/>
      <c r="K594" s="115"/>
      <c r="L594" s="115"/>
      <c r="M594" s="115"/>
      <c r="N594" s="115"/>
      <c r="O594" s="115"/>
    </row>
    <row r="595" ht="15.75" customHeight="1">
      <c r="I595" s="115"/>
      <c r="J595" s="115"/>
      <c r="K595" s="115"/>
      <c r="L595" s="115"/>
      <c r="M595" s="115"/>
      <c r="N595" s="115"/>
      <c r="O595" s="115"/>
    </row>
    <row r="596" ht="15.75" customHeight="1">
      <c r="I596" s="115"/>
      <c r="J596" s="115"/>
      <c r="K596" s="115"/>
      <c r="L596" s="115"/>
      <c r="M596" s="115"/>
      <c r="N596" s="115"/>
      <c r="O596" s="115"/>
    </row>
    <row r="597" ht="15.75" customHeight="1">
      <c r="I597" s="115"/>
      <c r="J597" s="115"/>
      <c r="K597" s="115"/>
      <c r="L597" s="115"/>
      <c r="M597" s="115"/>
      <c r="N597" s="115"/>
      <c r="O597" s="115"/>
    </row>
    <row r="598" ht="15.75" customHeight="1">
      <c r="I598" s="115"/>
      <c r="J598" s="115"/>
      <c r="K598" s="115"/>
      <c r="L598" s="115"/>
      <c r="M598" s="115"/>
      <c r="N598" s="115"/>
      <c r="O598" s="115"/>
    </row>
    <row r="599" ht="15.75" customHeight="1">
      <c r="I599" s="115"/>
      <c r="J599" s="115"/>
      <c r="K599" s="115"/>
      <c r="L599" s="115"/>
      <c r="M599" s="115"/>
      <c r="N599" s="115"/>
      <c r="O599" s="115"/>
    </row>
    <row r="600" ht="15.75" customHeight="1">
      <c r="I600" s="115"/>
      <c r="J600" s="115"/>
      <c r="K600" s="115"/>
      <c r="L600" s="115"/>
      <c r="M600" s="115"/>
      <c r="N600" s="115"/>
      <c r="O600" s="115"/>
    </row>
    <row r="601" ht="15.75" customHeight="1">
      <c r="I601" s="115"/>
      <c r="J601" s="115"/>
      <c r="K601" s="115"/>
      <c r="L601" s="115"/>
      <c r="M601" s="115"/>
      <c r="N601" s="115"/>
      <c r="O601" s="115"/>
    </row>
    <row r="602" ht="15.75" customHeight="1">
      <c r="I602" s="115"/>
      <c r="J602" s="115"/>
      <c r="K602" s="115"/>
      <c r="L602" s="115"/>
      <c r="M602" s="115"/>
      <c r="N602" s="115"/>
      <c r="O602" s="115"/>
    </row>
    <row r="603" ht="15.75" customHeight="1">
      <c r="I603" s="115"/>
      <c r="J603" s="115"/>
      <c r="K603" s="115"/>
      <c r="L603" s="115"/>
      <c r="M603" s="115"/>
      <c r="N603" s="115"/>
      <c r="O603" s="115"/>
    </row>
    <row r="604" ht="15.75" customHeight="1">
      <c r="I604" s="115"/>
      <c r="J604" s="115"/>
      <c r="K604" s="115"/>
      <c r="L604" s="115"/>
      <c r="M604" s="115"/>
      <c r="N604" s="115"/>
      <c r="O604" s="115"/>
    </row>
    <row r="605" ht="15.75" customHeight="1">
      <c r="I605" s="115"/>
      <c r="J605" s="115"/>
      <c r="K605" s="115"/>
      <c r="L605" s="115"/>
      <c r="M605" s="115"/>
      <c r="N605" s="115"/>
      <c r="O605" s="115"/>
    </row>
    <row r="606" ht="15.75" customHeight="1">
      <c r="I606" s="115"/>
      <c r="J606" s="115"/>
      <c r="K606" s="115"/>
      <c r="L606" s="115"/>
      <c r="M606" s="115"/>
      <c r="N606" s="115"/>
      <c r="O606" s="115"/>
    </row>
    <row r="607" ht="15.75" customHeight="1">
      <c r="I607" s="115"/>
      <c r="J607" s="115"/>
      <c r="K607" s="115"/>
      <c r="L607" s="115"/>
      <c r="M607" s="115"/>
      <c r="N607" s="115"/>
      <c r="O607" s="115"/>
    </row>
    <row r="608" ht="15.75" customHeight="1">
      <c r="I608" s="115"/>
      <c r="J608" s="115"/>
      <c r="K608" s="115"/>
      <c r="L608" s="115"/>
      <c r="M608" s="115"/>
      <c r="N608" s="115"/>
      <c r="O608" s="115"/>
    </row>
    <row r="609" ht="15.75" customHeight="1">
      <c r="I609" s="115"/>
      <c r="J609" s="115"/>
      <c r="K609" s="115"/>
      <c r="L609" s="115"/>
      <c r="M609" s="115"/>
      <c r="N609" s="115"/>
      <c r="O609" s="115"/>
    </row>
    <row r="610" ht="15.75" customHeight="1">
      <c r="I610" s="115"/>
      <c r="J610" s="115"/>
      <c r="K610" s="115"/>
      <c r="L610" s="115"/>
      <c r="M610" s="115"/>
      <c r="N610" s="115"/>
      <c r="O610" s="115"/>
    </row>
    <row r="611" ht="15.75" customHeight="1">
      <c r="I611" s="115"/>
      <c r="J611" s="115"/>
      <c r="K611" s="115"/>
      <c r="L611" s="115"/>
      <c r="M611" s="115"/>
      <c r="N611" s="115"/>
      <c r="O611" s="115"/>
    </row>
    <row r="612" ht="15.75" customHeight="1">
      <c r="I612" s="115"/>
      <c r="J612" s="115"/>
      <c r="K612" s="115"/>
      <c r="L612" s="115"/>
      <c r="M612" s="115"/>
      <c r="N612" s="115"/>
      <c r="O612" s="115"/>
    </row>
    <row r="613" ht="15.75" customHeight="1">
      <c r="I613" s="115"/>
      <c r="J613" s="115"/>
      <c r="K613" s="115"/>
      <c r="L613" s="115"/>
      <c r="M613" s="115"/>
      <c r="N613" s="115"/>
      <c r="O613" s="115"/>
    </row>
    <row r="614" ht="15.75" customHeight="1">
      <c r="I614" s="115"/>
      <c r="J614" s="115"/>
      <c r="K614" s="115"/>
      <c r="L614" s="115"/>
      <c r="M614" s="115"/>
      <c r="N614" s="115"/>
      <c r="O614" s="115"/>
    </row>
    <row r="615" ht="15.75" customHeight="1">
      <c r="I615" s="115"/>
      <c r="J615" s="115"/>
      <c r="K615" s="115"/>
      <c r="L615" s="115"/>
      <c r="M615" s="115"/>
      <c r="N615" s="115"/>
      <c r="O615" s="115"/>
    </row>
    <row r="616" ht="15.75" customHeight="1">
      <c r="I616" s="115"/>
      <c r="J616" s="115"/>
      <c r="K616" s="115"/>
      <c r="L616" s="115"/>
      <c r="M616" s="115"/>
      <c r="N616" s="115"/>
      <c r="O616" s="115"/>
    </row>
    <row r="617" ht="15.75" customHeight="1">
      <c r="I617" s="115"/>
      <c r="J617" s="115"/>
      <c r="K617" s="115"/>
      <c r="L617" s="115"/>
      <c r="M617" s="115"/>
      <c r="N617" s="115"/>
      <c r="O617" s="115"/>
    </row>
    <row r="618" ht="15.75" customHeight="1">
      <c r="I618" s="115"/>
      <c r="J618" s="115"/>
      <c r="K618" s="115"/>
      <c r="L618" s="115"/>
      <c r="M618" s="115"/>
      <c r="N618" s="115"/>
      <c r="O618" s="115"/>
    </row>
    <row r="619" ht="15.75" customHeight="1">
      <c r="I619" s="115"/>
      <c r="J619" s="115"/>
      <c r="K619" s="115"/>
      <c r="L619" s="115"/>
      <c r="M619" s="115"/>
      <c r="N619" s="115"/>
      <c r="O619" s="115"/>
    </row>
    <row r="620" ht="15.75" customHeight="1">
      <c r="I620" s="115"/>
      <c r="J620" s="115"/>
      <c r="K620" s="115"/>
      <c r="L620" s="115"/>
      <c r="M620" s="115"/>
      <c r="N620" s="115"/>
      <c r="O620" s="115"/>
    </row>
    <row r="621" ht="15.75" customHeight="1">
      <c r="I621" s="115"/>
      <c r="J621" s="115"/>
      <c r="K621" s="115"/>
      <c r="L621" s="115"/>
      <c r="M621" s="115"/>
      <c r="N621" s="115"/>
      <c r="O621" s="115"/>
    </row>
    <row r="622" ht="15.75" customHeight="1">
      <c r="I622" s="115"/>
      <c r="J622" s="115"/>
      <c r="K622" s="115"/>
      <c r="L622" s="115"/>
      <c r="M622" s="115"/>
      <c r="N622" s="115"/>
      <c r="O622" s="115"/>
    </row>
    <row r="623" ht="15.75" customHeight="1">
      <c r="I623" s="115"/>
      <c r="J623" s="115"/>
      <c r="K623" s="115"/>
      <c r="L623" s="115"/>
      <c r="M623" s="115"/>
      <c r="N623" s="115"/>
      <c r="O623" s="115"/>
    </row>
    <row r="624" ht="15.75" customHeight="1">
      <c r="I624" s="115"/>
      <c r="J624" s="115"/>
      <c r="K624" s="115"/>
      <c r="L624" s="115"/>
      <c r="M624" s="115"/>
      <c r="N624" s="115"/>
      <c r="O624" s="115"/>
    </row>
    <row r="625" ht="15.75" customHeight="1">
      <c r="I625" s="115"/>
      <c r="J625" s="115"/>
      <c r="K625" s="115"/>
      <c r="L625" s="115"/>
      <c r="M625" s="115"/>
      <c r="N625" s="115"/>
      <c r="O625" s="115"/>
    </row>
    <row r="626" ht="15.75" customHeight="1">
      <c r="I626" s="115"/>
      <c r="J626" s="115"/>
      <c r="K626" s="115"/>
      <c r="L626" s="115"/>
      <c r="M626" s="115"/>
      <c r="N626" s="115"/>
      <c r="O626" s="115"/>
    </row>
    <row r="627" ht="15.75" customHeight="1">
      <c r="I627" s="115"/>
      <c r="J627" s="115"/>
      <c r="K627" s="115"/>
      <c r="L627" s="115"/>
      <c r="M627" s="115"/>
      <c r="N627" s="115"/>
      <c r="O627" s="115"/>
    </row>
    <row r="628" ht="15.75" customHeight="1">
      <c r="I628" s="115"/>
      <c r="J628" s="115"/>
      <c r="K628" s="115"/>
      <c r="L628" s="115"/>
      <c r="M628" s="115"/>
      <c r="N628" s="115"/>
      <c r="O628" s="115"/>
    </row>
    <row r="629" ht="15.75" customHeight="1">
      <c r="I629" s="115"/>
      <c r="J629" s="115"/>
      <c r="K629" s="115"/>
      <c r="L629" s="115"/>
      <c r="M629" s="115"/>
      <c r="N629" s="115"/>
      <c r="O629" s="115"/>
    </row>
    <row r="630" ht="15.75" customHeight="1">
      <c r="I630" s="115"/>
      <c r="J630" s="115"/>
      <c r="K630" s="115"/>
      <c r="L630" s="115"/>
      <c r="M630" s="115"/>
      <c r="N630" s="115"/>
      <c r="O630" s="115"/>
    </row>
    <row r="631" ht="15.75" customHeight="1">
      <c r="I631" s="115"/>
      <c r="J631" s="115"/>
      <c r="K631" s="115"/>
      <c r="L631" s="115"/>
      <c r="M631" s="115"/>
      <c r="N631" s="115"/>
      <c r="O631" s="115"/>
    </row>
    <row r="632" ht="15.75" customHeight="1">
      <c r="I632" s="115"/>
      <c r="J632" s="115"/>
      <c r="K632" s="115"/>
      <c r="L632" s="115"/>
      <c r="M632" s="115"/>
      <c r="N632" s="115"/>
      <c r="O632" s="115"/>
    </row>
    <row r="633" ht="15.75" customHeight="1">
      <c r="I633" s="115"/>
      <c r="J633" s="115"/>
      <c r="K633" s="115"/>
      <c r="L633" s="115"/>
      <c r="M633" s="115"/>
      <c r="N633" s="115"/>
      <c r="O633" s="115"/>
    </row>
    <row r="634" ht="15.75" customHeight="1">
      <c r="I634" s="115"/>
      <c r="J634" s="115"/>
      <c r="K634" s="115"/>
      <c r="L634" s="115"/>
      <c r="M634" s="115"/>
      <c r="N634" s="115"/>
      <c r="O634" s="115"/>
    </row>
    <row r="635" ht="15.75" customHeight="1">
      <c r="I635" s="115"/>
      <c r="J635" s="115"/>
      <c r="K635" s="115"/>
      <c r="L635" s="115"/>
      <c r="M635" s="115"/>
      <c r="N635" s="115"/>
      <c r="O635" s="115"/>
    </row>
    <row r="636" ht="15.75" customHeight="1">
      <c r="I636" s="115"/>
      <c r="J636" s="115"/>
      <c r="K636" s="115"/>
      <c r="L636" s="115"/>
      <c r="M636" s="115"/>
      <c r="N636" s="115"/>
      <c r="O636" s="115"/>
    </row>
    <row r="637" ht="15.75" customHeight="1">
      <c r="I637" s="115"/>
      <c r="J637" s="115"/>
      <c r="K637" s="115"/>
      <c r="L637" s="115"/>
      <c r="M637" s="115"/>
      <c r="N637" s="115"/>
      <c r="O637" s="115"/>
    </row>
    <row r="638" ht="15.75" customHeight="1">
      <c r="I638" s="115"/>
      <c r="J638" s="115"/>
      <c r="K638" s="115"/>
      <c r="L638" s="115"/>
      <c r="M638" s="115"/>
      <c r="N638" s="115"/>
      <c r="O638" s="115"/>
    </row>
    <row r="639" ht="15.75" customHeight="1">
      <c r="I639" s="115"/>
      <c r="J639" s="115"/>
      <c r="K639" s="115"/>
      <c r="L639" s="115"/>
      <c r="M639" s="115"/>
      <c r="N639" s="115"/>
      <c r="O639" s="115"/>
    </row>
    <row r="640" ht="15.75" customHeight="1">
      <c r="I640" s="115"/>
      <c r="J640" s="115"/>
      <c r="K640" s="115"/>
      <c r="L640" s="115"/>
      <c r="M640" s="115"/>
      <c r="N640" s="115"/>
      <c r="O640" s="115"/>
    </row>
    <row r="641" ht="15.75" customHeight="1">
      <c r="I641" s="115"/>
      <c r="J641" s="115"/>
      <c r="K641" s="115"/>
      <c r="L641" s="115"/>
      <c r="M641" s="115"/>
      <c r="N641" s="115"/>
      <c r="O641" s="115"/>
    </row>
    <row r="642" ht="15.75" customHeight="1">
      <c r="I642" s="115"/>
      <c r="J642" s="115"/>
      <c r="K642" s="115"/>
      <c r="L642" s="115"/>
      <c r="M642" s="115"/>
      <c r="N642" s="115"/>
      <c r="O642" s="115"/>
    </row>
    <row r="643" ht="15.75" customHeight="1">
      <c r="I643" s="115"/>
      <c r="J643" s="115"/>
      <c r="K643" s="115"/>
      <c r="L643" s="115"/>
      <c r="M643" s="115"/>
      <c r="N643" s="115"/>
      <c r="O643" s="115"/>
    </row>
    <row r="644" ht="15.75" customHeight="1">
      <c r="I644" s="115"/>
      <c r="J644" s="115"/>
      <c r="K644" s="115"/>
      <c r="L644" s="115"/>
      <c r="M644" s="115"/>
      <c r="N644" s="115"/>
      <c r="O644" s="115"/>
    </row>
    <row r="645" ht="15.75" customHeight="1">
      <c r="I645" s="115"/>
      <c r="J645" s="115"/>
      <c r="K645" s="115"/>
      <c r="L645" s="115"/>
      <c r="M645" s="115"/>
      <c r="N645" s="115"/>
      <c r="O645" s="115"/>
    </row>
    <row r="646" ht="15.75" customHeight="1">
      <c r="I646" s="115"/>
      <c r="J646" s="115"/>
      <c r="K646" s="115"/>
      <c r="L646" s="115"/>
      <c r="M646" s="115"/>
      <c r="N646" s="115"/>
      <c r="O646" s="115"/>
    </row>
    <row r="647" ht="15.75" customHeight="1">
      <c r="I647" s="115"/>
      <c r="J647" s="115"/>
      <c r="K647" s="115"/>
      <c r="L647" s="115"/>
      <c r="M647" s="115"/>
      <c r="N647" s="115"/>
      <c r="O647" s="115"/>
    </row>
    <row r="648" ht="15.75" customHeight="1">
      <c r="I648" s="115"/>
      <c r="J648" s="115"/>
      <c r="K648" s="115"/>
      <c r="L648" s="115"/>
      <c r="M648" s="115"/>
      <c r="N648" s="115"/>
      <c r="O648" s="115"/>
    </row>
    <row r="649" ht="15.75" customHeight="1">
      <c r="I649" s="115"/>
      <c r="J649" s="115"/>
      <c r="K649" s="115"/>
      <c r="L649" s="115"/>
      <c r="M649" s="115"/>
      <c r="N649" s="115"/>
      <c r="O649" s="115"/>
    </row>
    <row r="650" ht="15.75" customHeight="1">
      <c r="I650" s="115"/>
      <c r="J650" s="115"/>
      <c r="K650" s="115"/>
      <c r="L650" s="115"/>
      <c r="M650" s="115"/>
      <c r="N650" s="115"/>
      <c r="O650" s="115"/>
    </row>
    <row r="651" ht="15.75" customHeight="1">
      <c r="I651" s="115"/>
      <c r="J651" s="115"/>
      <c r="K651" s="115"/>
      <c r="L651" s="115"/>
      <c r="M651" s="115"/>
      <c r="N651" s="115"/>
      <c r="O651" s="115"/>
    </row>
    <row r="652" ht="15.75" customHeight="1">
      <c r="I652" s="115"/>
      <c r="J652" s="115"/>
      <c r="K652" s="115"/>
      <c r="L652" s="115"/>
      <c r="M652" s="115"/>
      <c r="N652" s="115"/>
      <c r="O652" s="115"/>
    </row>
    <row r="653" ht="15.75" customHeight="1">
      <c r="I653" s="115"/>
      <c r="J653" s="115"/>
      <c r="K653" s="115"/>
      <c r="L653" s="115"/>
      <c r="M653" s="115"/>
      <c r="N653" s="115"/>
      <c r="O653" s="115"/>
    </row>
    <row r="654" ht="15.75" customHeight="1">
      <c r="I654" s="115"/>
      <c r="J654" s="115"/>
      <c r="K654" s="115"/>
      <c r="L654" s="115"/>
      <c r="M654" s="115"/>
      <c r="N654" s="115"/>
      <c r="O654" s="115"/>
    </row>
    <row r="655" ht="15.75" customHeight="1">
      <c r="I655" s="115"/>
      <c r="J655" s="115"/>
      <c r="K655" s="115"/>
      <c r="L655" s="115"/>
      <c r="M655" s="115"/>
      <c r="N655" s="115"/>
      <c r="O655" s="115"/>
    </row>
    <row r="656" ht="15.75" customHeight="1">
      <c r="I656" s="115"/>
      <c r="J656" s="115"/>
      <c r="K656" s="115"/>
      <c r="L656" s="115"/>
      <c r="M656" s="115"/>
      <c r="N656" s="115"/>
      <c r="O656" s="115"/>
    </row>
    <row r="657" ht="15.75" customHeight="1">
      <c r="I657" s="115"/>
      <c r="J657" s="115"/>
      <c r="K657" s="115"/>
      <c r="L657" s="115"/>
      <c r="M657" s="115"/>
      <c r="N657" s="115"/>
      <c r="O657" s="115"/>
    </row>
    <row r="658" ht="15.75" customHeight="1">
      <c r="I658" s="115"/>
      <c r="J658" s="115"/>
      <c r="K658" s="115"/>
      <c r="L658" s="115"/>
      <c r="M658" s="115"/>
      <c r="N658" s="115"/>
      <c r="O658" s="115"/>
    </row>
    <row r="659" ht="15.75" customHeight="1">
      <c r="I659" s="115"/>
      <c r="J659" s="115"/>
      <c r="K659" s="115"/>
      <c r="L659" s="115"/>
      <c r="M659" s="115"/>
      <c r="N659" s="115"/>
      <c r="O659" s="115"/>
    </row>
    <row r="660" ht="15.75" customHeight="1">
      <c r="I660" s="115"/>
      <c r="J660" s="115"/>
      <c r="K660" s="115"/>
      <c r="L660" s="115"/>
      <c r="M660" s="115"/>
      <c r="N660" s="115"/>
      <c r="O660" s="115"/>
    </row>
    <row r="661" ht="15.75" customHeight="1">
      <c r="I661" s="115"/>
      <c r="J661" s="115"/>
      <c r="K661" s="115"/>
      <c r="L661" s="115"/>
      <c r="M661" s="115"/>
      <c r="N661" s="115"/>
      <c r="O661" s="115"/>
    </row>
    <row r="662" ht="15.75" customHeight="1">
      <c r="I662" s="115"/>
      <c r="J662" s="115"/>
      <c r="K662" s="115"/>
      <c r="L662" s="115"/>
      <c r="M662" s="115"/>
      <c r="N662" s="115"/>
      <c r="O662" s="115"/>
    </row>
    <row r="663" ht="15.75" customHeight="1">
      <c r="I663" s="115"/>
      <c r="J663" s="115"/>
      <c r="K663" s="115"/>
      <c r="L663" s="115"/>
      <c r="M663" s="115"/>
      <c r="N663" s="115"/>
      <c r="O663" s="115"/>
    </row>
    <row r="664" ht="15.75" customHeight="1">
      <c r="I664" s="115"/>
      <c r="J664" s="115"/>
      <c r="K664" s="115"/>
      <c r="L664" s="115"/>
      <c r="M664" s="115"/>
      <c r="N664" s="115"/>
      <c r="O664" s="115"/>
    </row>
    <row r="665" ht="15.75" customHeight="1">
      <c r="I665" s="115"/>
      <c r="J665" s="115"/>
      <c r="K665" s="115"/>
      <c r="L665" s="115"/>
      <c r="M665" s="115"/>
      <c r="N665" s="115"/>
      <c r="O665" s="115"/>
    </row>
    <row r="666" ht="15.75" customHeight="1">
      <c r="I666" s="115"/>
      <c r="J666" s="115"/>
      <c r="K666" s="115"/>
      <c r="L666" s="115"/>
      <c r="M666" s="115"/>
      <c r="N666" s="115"/>
      <c r="O666" s="115"/>
    </row>
    <row r="667" ht="15.75" customHeight="1">
      <c r="I667" s="115"/>
      <c r="J667" s="115"/>
      <c r="K667" s="115"/>
      <c r="L667" s="115"/>
      <c r="M667" s="115"/>
      <c r="N667" s="115"/>
      <c r="O667" s="115"/>
    </row>
    <row r="668" ht="15.75" customHeight="1">
      <c r="I668" s="115"/>
      <c r="J668" s="115"/>
      <c r="K668" s="115"/>
      <c r="L668" s="115"/>
      <c r="M668" s="115"/>
      <c r="N668" s="115"/>
      <c r="O668" s="115"/>
    </row>
    <row r="669" ht="15.75" customHeight="1">
      <c r="I669" s="115"/>
      <c r="J669" s="115"/>
      <c r="K669" s="115"/>
      <c r="L669" s="115"/>
      <c r="M669" s="115"/>
      <c r="N669" s="115"/>
      <c r="O669" s="115"/>
    </row>
    <row r="670" ht="15.75" customHeight="1">
      <c r="I670" s="115"/>
      <c r="J670" s="115"/>
      <c r="K670" s="115"/>
      <c r="L670" s="115"/>
      <c r="M670" s="115"/>
      <c r="N670" s="115"/>
      <c r="O670" s="115"/>
    </row>
    <row r="671" ht="15.75" customHeight="1">
      <c r="I671" s="115"/>
      <c r="J671" s="115"/>
      <c r="K671" s="115"/>
      <c r="L671" s="115"/>
      <c r="M671" s="115"/>
      <c r="N671" s="115"/>
      <c r="O671" s="115"/>
    </row>
    <row r="672" ht="15.75" customHeight="1">
      <c r="I672" s="115"/>
      <c r="J672" s="115"/>
      <c r="K672" s="115"/>
      <c r="L672" s="115"/>
      <c r="M672" s="115"/>
      <c r="N672" s="115"/>
      <c r="O672" s="115"/>
    </row>
    <row r="673" ht="15.75" customHeight="1">
      <c r="I673" s="115"/>
      <c r="J673" s="115"/>
      <c r="K673" s="115"/>
      <c r="L673" s="115"/>
      <c r="M673" s="115"/>
      <c r="N673" s="115"/>
      <c r="O673" s="115"/>
    </row>
    <row r="674" ht="15.75" customHeight="1">
      <c r="I674" s="115"/>
      <c r="J674" s="115"/>
      <c r="K674" s="115"/>
      <c r="L674" s="115"/>
      <c r="M674" s="115"/>
      <c r="N674" s="115"/>
      <c r="O674" s="115"/>
    </row>
    <row r="675" ht="15.75" customHeight="1">
      <c r="I675" s="115"/>
      <c r="J675" s="115"/>
      <c r="K675" s="115"/>
      <c r="L675" s="115"/>
      <c r="M675" s="115"/>
      <c r="N675" s="115"/>
      <c r="O675" s="115"/>
    </row>
    <row r="676" ht="15.75" customHeight="1">
      <c r="I676" s="115"/>
      <c r="J676" s="115"/>
      <c r="K676" s="115"/>
      <c r="L676" s="115"/>
      <c r="M676" s="115"/>
      <c r="N676" s="115"/>
      <c r="O676" s="115"/>
    </row>
    <row r="677" ht="15.75" customHeight="1">
      <c r="I677" s="115"/>
      <c r="J677" s="115"/>
      <c r="K677" s="115"/>
      <c r="L677" s="115"/>
      <c r="M677" s="115"/>
      <c r="N677" s="115"/>
      <c r="O677" s="115"/>
    </row>
    <row r="678" ht="15.75" customHeight="1">
      <c r="I678" s="115"/>
      <c r="J678" s="115"/>
      <c r="K678" s="115"/>
      <c r="L678" s="115"/>
      <c r="M678" s="115"/>
      <c r="N678" s="115"/>
      <c r="O678" s="115"/>
    </row>
    <row r="679" ht="15.75" customHeight="1">
      <c r="I679" s="115"/>
      <c r="J679" s="115"/>
      <c r="K679" s="115"/>
      <c r="L679" s="115"/>
      <c r="M679" s="115"/>
      <c r="N679" s="115"/>
      <c r="O679" s="115"/>
    </row>
    <row r="680" ht="15.75" customHeight="1">
      <c r="I680" s="115"/>
      <c r="J680" s="115"/>
      <c r="K680" s="115"/>
      <c r="L680" s="115"/>
      <c r="M680" s="115"/>
      <c r="N680" s="115"/>
      <c r="O680" s="115"/>
    </row>
    <row r="681" ht="15.75" customHeight="1">
      <c r="I681" s="115"/>
      <c r="J681" s="115"/>
      <c r="K681" s="115"/>
      <c r="L681" s="115"/>
      <c r="M681" s="115"/>
      <c r="N681" s="115"/>
      <c r="O681" s="115"/>
    </row>
    <row r="682" ht="15.75" customHeight="1">
      <c r="I682" s="115"/>
      <c r="J682" s="115"/>
      <c r="K682" s="115"/>
      <c r="L682" s="115"/>
      <c r="M682" s="115"/>
      <c r="N682" s="115"/>
      <c r="O682" s="115"/>
    </row>
    <row r="683" ht="15.75" customHeight="1">
      <c r="I683" s="115"/>
      <c r="J683" s="115"/>
      <c r="K683" s="115"/>
      <c r="L683" s="115"/>
      <c r="M683" s="115"/>
      <c r="N683" s="115"/>
      <c r="O683" s="115"/>
    </row>
    <row r="684" ht="15.75" customHeight="1">
      <c r="I684" s="115"/>
      <c r="J684" s="115"/>
      <c r="K684" s="115"/>
      <c r="L684" s="115"/>
      <c r="M684" s="115"/>
      <c r="N684" s="115"/>
      <c r="O684" s="115"/>
    </row>
    <row r="685" ht="15.75" customHeight="1">
      <c r="I685" s="115"/>
      <c r="J685" s="115"/>
      <c r="K685" s="115"/>
      <c r="L685" s="115"/>
      <c r="M685" s="115"/>
      <c r="N685" s="115"/>
      <c r="O685" s="115"/>
    </row>
    <row r="686" ht="15.75" customHeight="1">
      <c r="I686" s="115"/>
      <c r="J686" s="115"/>
      <c r="K686" s="115"/>
      <c r="L686" s="115"/>
      <c r="M686" s="115"/>
      <c r="N686" s="115"/>
      <c r="O686" s="115"/>
    </row>
    <row r="687" ht="15.75" customHeight="1">
      <c r="I687" s="115"/>
      <c r="J687" s="115"/>
      <c r="K687" s="115"/>
      <c r="L687" s="115"/>
      <c r="M687" s="115"/>
      <c r="N687" s="115"/>
      <c r="O687" s="115"/>
    </row>
    <row r="688" ht="15.75" customHeight="1">
      <c r="I688" s="115"/>
      <c r="J688" s="115"/>
      <c r="K688" s="115"/>
      <c r="L688" s="115"/>
      <c r="M688" s="115"/>
      <c r="N688" s="115"/>
      <c r="O688" s="115"/>
    </row>
    <row r="689" ht="15.75" customHeight="1">
      <c r="I689" s="115"/>
      <c r="J689" s="115"/>
      <c r="K689" s="115"/>
      <c r="L689" s="115"/>
      <c r="M689" s="115"/>
      <c r="N689" s="115"/>
      <c r="O689" s="115"/>
    </row>
    <row r="690" ht="15.75" customHeight="1">
      <c r="I690" s="115"/>
      <c r="J690" s="115"/>
      <c r="K690" s="115"/>
      <c r="L690" s="115"/>
      <c r="M690" s="115"/>
      <c r="N690" s="115"/>
      <c r="O690" s="115"/>
    </row>
    <row r="691" ht="15.75" customHeight="1">
      <c r="I691" s="115"/>
      <c r="J691" s="115"/>
      <c r="K691" s="115"/>
      <c r="L691" s="115"/>
      <c r="M691" s="115"/>
      <c r="N691" s="115"/>
      <c r="O691" s="115"/>
    </row>
    <row r="692" ht="15.75" customHeight="1">
      <c r="I692" s="115"/>
      <c r="J692" s="115"/>
      <c r="K692" s="115"/>
      <c r="L692" s="115"/>
      <c r="M692" s="115"/>
      <c r="N692" s="115"/>
      <c r="O692" s="115"/>
    </row>
    <row r="693" ht="15.75" customHeight="1">
      <c r="I693" s="115"/>
      <c r="J693" s="115"/>
      <c r="K693" s="115"/>
      <c r="L693" s="115"/>
      <c r="M693" s="115"/>
      <c r="N693" s="115"/>
      <c r="O693" s="115"/>
    </row>
    <row r="694" ht="15.75" customHeight="1">
      <c r="I694" s="115"/>
      <c r="J694" s="115"/>
      <c r="K694" s="115"/>
      <c r="L694" s="115"/>
      <c r="M694" s="115"/>
      <c r="N694" s="115"/>
      <c r="O694" s="115"/>
    </row>
    <row r="695" ht="15.75" customHeight="1">
      <c r="I695" s="115"/>
      <c r="J695" s="115"/>
      <c r="K695" s="115"/>
      <c r="L695" s="115"/>
      <c r="M695" s="115"/>
      <c r="N695" s="115"/>
      <c r="O695" s="115"/>
    </row>
    <row r="696" ht="15.75" customHeight="1">
      <c r="I696" s="115"/>
      <c r="J696" s="115"/>
      <c r="K696" s="115"/>
      <c r="L696" s="115"/>
      <c r="M696" s="115"/>
      <c r="N696" s="115"/>
      <c r="O696" s="115"/>
    </row>
    <row r="697" ht="15.75" customHeight="1">
      <c r="I697" s="115"/>
      <c r="J697" s="115"/>
      <c r="K697" s="115"/>
      <c r="L697" s="115"/>
      <c r="M697" s="115"/>
      <c r="N697" s="115"/>
      <c r="O697" s="115"/>
    </row>
    <row r="698" ht="15.75" customHeight="1">
      <c r="I698" s="115"/>
      <c r="J698" s="115"/>
      <c r="K698" s="115"/>
      <c r="L698" s="115"/>
      <c r="M698" s="115"/>
      <c r="N698" s="115"/>
      <c r="O698" s="115"/>
    </row>
    <row r="699" ht="15.75" customHeight="1">
      <c r="I699" s="115"/>
      <c r="J699" s="115"/>
      <c r="K699" s="115"/>
      <c r="L699" s="115"/>
      <c r="M699" s="115"/>
      <c r="N699" s="115"/>
      <c r="O699" s="115"/>
    </row>
    <row r="700" ht="15.75" customHeight="1">
      <c r="I700" s="115"/>
      <c r="J700" s="115"/>
      <c r="K700" s="115"/>
      <c r="L700" s="115"/>
      <c r="M700" s="115"/>
      <c r="N700" s="115"/>
      <c r="O700" s="115"/>
    </row>
    <row r="701" ht="15.75" customHeight="1">
      <c r="I701" s="115"/>
      <c r="J701" s="115"/>
      <c r="K701" s="115"/>
      <c r="L701" s="115"/>
      <c r="M701" s="115"/>
      <c r="N701" s="115"/>
      <c r="O701" s="115"/>
    </row>
    <row r="702" ht="15.75" customHeight="1">
      <c r="I702" s="115"/>
      <c r="J702" s="115"/>
      <c r="K702" s="115"/>
      <c r="L702" s="115"/>
      <c r="M702" s="115"/>
      <c r="N702" s="115"/>
      <c r="O702" s="115"/>
    </row>
    <row r="703" ht="15.75" customHeight="1">
      <c r="I703" s="115"/>
      <c r="J703" s="115"/>
      <c r="K703" s="115"/>
      <c r="L703" s="115"/>
      <c r="M703" s="115"/>
      <c r="N703" s="115"/>
      <c r="O703" s="115"/>
    </row>
    <row r="704" ht="15.75" customHeight="1">
      <c r="I704" s="115"/>
      <c r="J704" s="115"/>
      <c r="K704" s="115"/>
      <c r="L704" s="115"/>
      <c r="M704" s="115"/>
      <c r="N704" s="115"/>
      <c r="O704" s="115"/>
    </row>
    <row r="705" ht="15.75" customHeight="1">
      <c r="I705" s="115"/>
      <c r="J705" s="115"/>
      <c r="K705" s="115"/>
      <c r="L705" s="115"/>
      <c r="M705" s="115"/>
      <c r="N705" s="115"/>
      <c r="O705" s="115"/>
    </row>
    <row r="706" ht="15.75" customHeight="1">
      <c r="I706" s="115"/>
      <c r="J706" s="115"/>
      <c r="K706" s="115"/>
      <c r="L706" s="115"/>
      <c r="M706" s="115"/>
      <c r="N706" s="115"/>
      <c r="O706" s="115"/>
    </row>
    <row r="707" ht="15.75" customHeight="1">
      <c r="I707" s="115"/>
      <c r="J707" s="115"/>
      <c r="K707" s="115"/>
      <c r="L707" s="115"/>
      <c r="M707" s="115"/>
      <c r="N707" s="115"/>
      <c r="O707" s="115"/>
    </row>
    <row r="708" ht="15.75" customHeight="1">
      <c r="I708" s="115"/>
      <c r="J708" s="115"/>
      <c r="K708" s="115"/>
      <c r="L708" s="115"/>
      <c r="M708" s="115"/>
      <c r="N708" s="115"/>
      <c r="O708" s="115"/>
    </row>
    <row r="709" ht="15.75" customHeight="1">
      <c r="I709" s="115"/>
      <c r="J709" s="115"/>
      <c r="K709" s="115"/>
      <c r="L709" s="115"/>
      <c r="M709" s="115"/>
      <c r="N709" s="115"/>
      <c r="O709" s="115"/>
    </row>
    <row r="710" ht="15.75" customHeight="1">
      <c r="I710" s="115"/>
      <c r="J710" s="115"/>
      <c r="K710" s="115"/>
      <c r="L710" s="115"/>
      <c r="M710" s="115"/>
      <c r="N710" s="115"/>
      <c r="O710" s="115"/>
    </row>
    <row r="711" ht="15.75" customHeight="1">
      <c r="I711" s="115"/>
      <c r="J711" s="115"/>
      <c r="K711" s="115"/>
      <c r="L711" s="115"/>
      <c r="M711" s="115"/>
      <c r="N711" s="115"/>
      <c r="O711" s="115"/>
    </row>
    <row r="712" ht="15.75" customHeight="1">
      <c r="I712" s="115"/>
      <c r="J712" s="115"/>
      <c r="K712" s="115"/>
      <c r="L712" s="115"/>
      <c r="M712" s="115"/>
      <c r="N712" s="115"/>
      <c r="O712" s="115"/>
    </row>
    <row r="713" ht="15.75" customHeight="1">
      <c r="I713" s="115"/>
      <c r="J713" s="115"/>
      <c r="K713" s="115"/>
      <c r="L713" s="115"/>
      <c r="M713" s="115"/>
      <c r="N713" s="115"/>
      <c r="O713" s="115"/>
    </row>
    <row r="714" ht="15.75" customHeight="1">
      <c r="I714" s="115"/>
      <c r="J714" s="115"/>
      <c r="K714" s="115"/>
      <c r="L714" s="115"/>
      <c r="M714" s="115"/>
      <c r="N714" s="115"/>
      <c r="O714" s="115"/>
    </row>
    <row r="715" ht="15.75" customHeight="1">
      <c r="I715" s="115"/>
      <c r="J715" s="115"/>
      <c r="K715" s="115"/>
      <c r="L715" s="115"/>
      <c r="M715" s="115"/>
      <c r="N715" s="115"/>
      <c r="O715" s="115"/>
    </row>
    <row r="716" ht="15.75" customHeight="1">
      <c r="I716" s="115"/>
      <c r="J716" s="115"/>
      <c r="K716" s="115"/>
      <c r="L716" s="115"/>
      <c r="M716" s="115"/>
      <c r="N716" s="115"/>
      <c r="O716" s="115"/>
    </row>
    <row r="717" ht="15.75" customHeight="1">
      <c r="I717" s="115"/>
      <c r="J717" s="115"/>
      <c r="K717" s="115"/>
      <c r="L717" s="115"/>
      <c r="M717" s="115"/>
      <c r="N717" s="115"/>
      <c r="O717" s="115"/>
    </row>
    <row r="718" ht="15.75" customHeight="1">
      <c r="I718" s="115"/>
      <c r="J718" s="115"/>
      <c r="K718" s="115"/>
      <c r="L718" s="115"/>
      <c r="M718" s="115"/>
      <c r="N718" s="115"/>
      <c r="O718" s="115"/>
    </row>
    <row r="719" ht="15.75" customHeight="1">
      <c r="I719" s="115"/>
      <c r="J719" s="115"/>
      <c r="K719" s="115"/>
      <c r="L719" s="115"/>
      <c r="M719" s="115"/>
      <c r="N719" s="115"/>
      <c r="O719" s="115"/>
    </row>
    <row r="720" ht="15.75" customHeight="1">
      <c r="I720" s="115"/>
      <c r="J720" s="115"/>
      <c r="K720" s="115"/>
      <c r="L720" s="115"/>
      <c r="M720" s="115"/>
      <c r="N720" s="115"/>
      <c r="O720" s="115"/>
    </row>
    <row r="721" ht="15.75" customHeight="1">
      <c r="I721" s="115"/>
      <c r="J721" s="115"/>
      <c r="K721" s="115"/>
      <c r="L721" s="115"/>
      <c r="M721" s="115"/>
      <c r="N721" s="115"/>
      <c r="O721" s="115"/>
    </row>
    <row r="722" ht="15.75" customHeight="1">
      <c r="I722" s="115"/>
      <c r="J722" s="115"/>
      <c r="K722" s="115"/>
      <c r="L722" s="115"/>
      <c r="M722" s="115"/>
      <c r="N722" s="115"/>
      <c r="O722" s="115"/>
    </row>
    <row r="723" ht="15.75" customHeight="1">
      <c r="I723" s="115"/>
      <c r="J723" s="115"/>
      <c r="K723" s="115"/>
      <c r="L723" s="115"/>
      <c r="M723" s="115"/>
      <c r="N723" s="115"/>
      <c r="O723" s="115"/>
    </row>
    <row r="724" ht="15.75" customHeight="1">
      <c r="I724" s="115"/>
      <c r="J724" s="115"/>
      <c r="K724" s="115"/>
      <c r="L724" s="115"/>
      <c r="M724" s="115"/>
      <c r="N724" s="115"/>
      <c r="O724" s="115"/>
    </row>
    <row r="725" ht="15.75" customHeight="1">
      <c r="I725" s="115"/>
      <c r="J725" s="115"/>
      <c r="K725" s="115"/>
      <c r="L725" s="115"/>
      <c r="M725" s="115"/>
      <c r="N725" s="115"/>
      <c r="O725" s="115"/>
    </row>
    <row r="726" ht="15.75" customHeight="1">
      <c r="I726" s="115"/>
      <c r="J726" s="115"/>
      <c r="K726" s="115"/>
      <c r="L726" s="115"/>
      <c r="M726" s="115"/>
      <c r="N726" s="115"/>
      <c r="O726" s="115"/>
    </row>
    <row r="727" ht="15.75" customHeight="1">
      <c r="I727" s="115"/>
      <c r="J727" s="115"/>
      <c r="K727" s="115"/>
      <c r="L727" s="115"/>
      <c r="M727" s="115"/>
      <c r="N727" s="115"/>
      <c r="O727" s="115"/>
    </row>
    <row r="728" ht="15.75" customHeight="1">
      <c r="I728" s="115"/>
      <c r="J728" s="115"/>
      <c r="K728" s="115"/>
      <c r="L728" s="115"/>
      <c r="M728" s="115"/>
      <c r="N728" s="115"/>
      <c r="O728" s="115"/>
    </row>
    <row r="729" ht="15.75" customHeight="1">
      <c r="I729" s="115"/>
      <c r="J729" s="115"/>
      <c r="K729" s="115"/>
      <c r="L729" s="115"/>
      <c r="M729" s="115"/>
      <c r="N729" s="115"/>
      <c r="O729" s="115"/>
    </row>
    <row r="730" ht="15.75" customHeight="1">
      <c r="I730" s="115"/>
      <c r="J730" s="115"/>
      <c r="K730" s="115"/>
      <c r="L730" s="115"/>
      <c r="M730" s="115"/>
      <c r="N730" s="115"/>
      <c r="O730" s="115"/>
    </row>
    <row r="731" ht="15.75" customHeight="1">
      <c r="I731" s="115"/>
      <c r="J731" s="115"/>
      <c r="K731" s="115"/>
      <c r="L731" s="115"/>
      <c r="M731" s="115"/>
      <c r="N731" s="115"/>
      <c r="O731" s="115"/>
    </row>
    <row r="732" ht="15.75" customHeight="1">
      <c r="I732" s="115"/>
      <c r="J732" s="115"/>
      <c r="K732" s="115"/>
      <c r="L732" s="115"/>
      <c r="M732" s="115"/>
      <c r="N732" s="115"/>
      <c r="O732" s="115"/>
    </row>
    <row r="733" ht="15.75" customHeight="1">
      <c r="I733" s="115"/>
      <c r="J733" s="115"/>
      <c r="K733" s="115"/>
      <c r="L733" s="115"/>
      <c r="M733" s="115"/>
      <c r="N733" s="115"/>
      <c r="O733" s="115"/>
    </row>
    <row r="734" ht="15.75" customHeight="1">
      <c r="I734" s="115"/>
      <c r="J734" s="115"/>
      <c r="K734" s="115"/>
      <c r="L734" s="115"/>
      <c r="M734" s="115"/>
      <c r="N734" s="115"/>
      <c r="O734" s="115"/>
    </row>
    <row r="735" ht="15.75" customHeight="1">
      <c r="I735" s="115"/>
      <c r="J735" s="115"/>
      <c r="K735" s="115"/>
      <c r="L735" s="115"/>
      <c r="M735" s="115"/>
      <c r="N735" s="115"/>
      <c r="O735" s="115"/>
    </row>
    <row r="736" ht="15.75" customHeight="1">
      <c r="I736" s="115"/>
      <c r="J736" s="115"/>
      <c r="K736" s="115"/>
      <c r="L736" s="115"/>
      <c r="M736" s="115"/>
      <c r="N736" s="115"/>
      <c r="O736" s="115"/>
    </row>
    <row r="737" ht="15.75" customHeight="1">
      <c r="I737" s="115"/>
      <c r="J737" s="115"/>
      <c r="K737" s="115"/>
      <c r="L737" s="115"/>
      <c r="M737" s="115"/>
      <c r="N737" s="115"/>
      <c r="O737" s="115"/>
    </row>
    <row r="738" ht="15.75" customHeight="1">
      <c r="I738" s="115"/>
      <c r="J738" s="115"/>
      <c r="K738" s="115"/>
      <c r="L738" s="115"/>
      <c r="M738" s="115"/>
      <c r="N738" s="115"/>
      <c r="O738" s="115"/>
    </row>
    <row r="739" ht="15.75" customHeight="1">
      <c r="I739" s="115"/>
      <c r="J739" s="115"/>
      <c r="K739" s="115"/>
      <c r="L739" s="115"/>
      <c r="M739" s="115"/>
      <c r="N739" s="115"/>
      <c r="O739" s="115"/>
    </row>
    <row r="740" ht="15.75" customHeight="1">
      <c r="I740" s="115"/>
      <c r="J740" s="115"/>
      <c r="K740" s="115"/>
      <c r="L740" s="115"/>
      <c r="M740" s="115"/>
      <c r="N740" s="115"/>
      <c r="O740" s="115"/>
    </row>
    <row r="741" ht="15.75" customHeight="1">
      <c r="I741" s="115"/>
      <c r="J741" s="115"/>
      <c r="K741" s="115"/>
      <c r="L741" s="115"/>
      <c r="M741" s="115"/>
      <c r="N741" s="115"/>
      <c r="O741" s="115"/>
    </row>
    <row r="742" ht="15.75" customHeight="1">
      <c r="I742" s="115"/>
      <c r="J742" s="115"/>
      <c r="K742" s="115"/>
      <c r="L742" s="115"/>
      <c r="M742" s="115"/>
      <c r="N742" s="115"/>
      <c r="O742" s="115"/>
    </row>
    <row r="743" ht="15.75" customHeight="1">
      <c r="I743" s="115"/>
      <c r="J743" s="115"/>
      <c r="K743" s="115"/>
      <c r="L743" s="115"/>
      <c r="M743" s="115"/>
      <c r="N743" s="115"/>
      <c r="O743" s="115"/>
    </row>
    <row r="744" ht="15.75" customHeight="1">
      <c r="I744" s="115"/>
      <c r="J744" s="115"/>
      <c r="K744" s="115"/>
      <c r="L744" s="115"/>
      <c r="M744" s="115"/>
      <c r="N744" s="115"/>
      <c r="O744" s="115"/>
    </row>
    <row r="745" ht="15.75" customHeight="1">
      <c r="I745" s="115"/>
      <c r="J745" s="115"/>
      <c r="K745" s="115"/>
      <c r="L745" s="115"/>
      <c r="M745" s="115"/>
      <c r="N745" s="115"/>
      <c r="O745" s="115"/>
    </row>
    <row r="746" ht="15.75" customHeight="1">
      <c r="I746" s="115"/>
      <c r="J746" s="115"/>
      <c r="K746" s="115"/>
      <c r="L746" s="115"/>
      <c r="M746" s="115"/>
      <c r="N746" s="115"/>
      <c r="O746" s="115"/>
    </row>
    <row r="747" ht="15.75" customHeight="1">
      <c r="I747" s="115"/>
      <c r="J747" s="115"/>
      <c r="K747" s="115"/>
      <c r="L747" s="115"/>
      <c r="M747" s="115"/>
      <c r="N747" s="115"/>
      <c r="O747" s="115"/>
    </row>
    <row r="748" ht="15.75" customHeight="1">
      <c r="I748" s="115"/>
      <c r="J748" s="115"/>
      <c r="K748" s="115"/>
      <c r="L748" s="115"/>
      <c r="M748" s="115"/>
      <c r="N748" s="115"/>
      <c r="O748" s="115"/>
    </row>
    <row r="749" ht="15.75" customHeight="1">
      <c r="I749" s="115"/>
      <c r="J749" s="115"/>
      <c r="K749" s="115"/>
      <c r="L749" s="115"/>
      <c r="M749" s="115"/>
      <c r="N749" s="115"/>
      <c r="O749" s="115"/>
    </row>
    <row r="750" ht="15.75" customHeight="1">
      <c r="I750" s="115"/>
      <c r="J750" s="115"/>
      <c r="K750" s="115"/>
      <c r="L750" s="115"/>
      <c r="M750" s="115"/>
      <c r="N750" s="115"/>
      <c r="O750" s="115"/>
    </row>
    <row r="751" ht="15.75" customHeight="1">
      <c r="I751" s="115"/>
      <c r="J751" s="115"/>
      <c r="K751" s="115"/>
      <c r="L751" s="115"/>
      <c r="M751" s="115"/>
      <c r="N751" s="115"/>
      <c r="O751" s="115"/>
    </row>
    <row r="752" ht="15.75" customHeight="1">
      <c r="I752" s="115"/>
      <c r="J752" s="115"/>
      <c r="K752" s="115"/>
      <c r="L752" s="115"/>
      <c r="M752" s="115"/>
      <c r="N752" s="115"/>
      <c r="O752" s="115"/>
    </row>
    <row r="753" ht="15.75" customHeight="1">
      <c r="I753" s="115"/>
      <c r="J753" s="115"/>
      <c r="K753" s="115"/>
      <c r="L753" s="115"/>
      <c r="M753" s="115"/>
      <c r="N753" s="115"/>
      <c r="O753" s="115"/>
    </row>
    <row r="754" ht="15.75" customHeight="1">
      <c r="I754" s="115"/>
      <c r="J754" s="115"/>
      <c r="K754" s="115"/>
      <c r="L754" s="115"/>
      <c r="M754" s="115"/>
      <c r="N754" s="115"/>
      <c r="O754" s="115"/>
    </row>
    <row r="755" ht="15.75" customHeight="1">
      <c r="I755" s="115"/>
      <c r="J755" s="115"/>
      <c r="K755" s="115"/>
      <c r="L755" s="115"/>
      <c r="M755" s="115"/>
      <c r="N755" s="115"/>
      <c r="O755" s="115"/>
    </row>
    <row r="756" ht="15.75" customHeight="1">
      <c r="I756" s="115"/>
      <c r="J756" s="115"/>
      <c r="K756" s="115"/>
      <c r="L756" s="115"/>
      <c r="M756" s="115"/>
      <c r="N756" s="115"/>
      <c r="O756" s="115"/>
    </row>
    <row r="757" ht="15.75" customHeight="1">
      <c r="I757" s="115"/>
      <c r="J757" s="115"/>
      <c r="K757" s="115"/>
      <c r="L757" s="115"/>
      <c r="M757" s="115"/>
      <c r="N757" s="115"/>
      <c r="O757" s="115"/>
    </row>
    <row r="758" ht="15.75" customHeight="1">
      <c r="I758" s="115"/>
      <c r="J758" s="115"/>
      <c r="K758" s="115"/>
      <c r="L758" s="115"/>
      <c r="M758" s="115"/>
      <c r="N758" s="115"/>
      <c r="O758" s="115"/>
    </row>
    <row r="759" ht="15.75" customHeight="1">
      <c r="I759" s="115"/>
      <c r="J759" s="115"/>
      <c r="K759" s="115"/>
      <c r="L759" s="115"/>
      <c r="M759" s="115"/>
      <c r="N759" s="115"/>
      <c r="O759" s="115"/>
    </row>
    <row r="760" ht="15.75" customHeight="1">
      <c r="I760" s="115"/>
      <c r="J760" s="115"/>
      <c r="K760" s="115"/>
      <c r="L760" s="115"/>
      <c r="M760" s="115"/>
      <c r="N760" s="115"/>
      <c r="O760" s="115"/>
    </row>
    <row r="761" ht="15.75" customHeight="1">
      <c r="I761" s="115"/>
      <c r="J761" s="115"/>
      <c r="K761" s="115"/>
      <c r="L761" s="115"/>
      <c r="M761" s="115"/>
      <c r="N761" s="115"/>
      <c r="O761" s="115"/>
    </row>
    <row r="762" ht="15.75" customHeight="1">
      <c r="I762" s="115"/>
      <c r="J762" s="115"/>
      <c r="K762" s="115"/>
      <c r="L762" s="115"/>
      <c r="M762" s="115"/>
      <c r="N762" s="115"/>
      <c r="O762" s="115"/>
    </row>
    <row r="763" ht="15.75" customHeight="1">
      <c r="I763" s="115"/>
      <c r="J763" s="115"/>
      <c r="K763" s="115"/>
      <c r="L763" s="115"/>
      <c r="M763" s="115"/>
      <c r="N763" s="115"/>
      <c r="O763" s="115"/>
    </row>
    <row r="764" ht="15.75" customHeight="1">
      <c r="I764" s="115"/>
      <c r="J764" s="115"/>
      <c r="K764" s="115"/>
      <c r="L764" s="115"/>
      <c r="M764" s="115"/>
      <c r="N764" s="115"/>
      <c r="O764" s="115"/>
    </row>
    <row r="765" ht="15.75" customHeight="1">
      <c r="I765" s="115"/>
      <c r="J765" s="115"/>
      <c r="K765" s="115"/>
      <c r="L765" s="115"/>
      <c r="M765" s="115"/>
      <c r="N765" s="115"/>
      <c r="O765" s="115"/>
    </row>
    <row r="766" ht="15.75" customHeight="1">
      <c r="I766" s="115"/>
      <c r="J766" s="115"/>
      <c r="K766" s="115"/>
      <c r="L766" s="115"/>
      <c r="M766" s="115"/>
      <c r="N766" s="115"/>
      <c r="O766" s="115"/>
    </row>
    <row r="767" ht="15.75" customHeight="1">
      <c r="I767" s="115"/>
      <c r="J767" s="115"/>
      <c r="K767" s="115"/>
      <c r="L767" s="115"/>
      <c r="M767" s="115"/>
      <c r="N767" s="115"/>
      <c r="O767" s="115"/>
    </row>
    <row r="768" ht="15.75" customHeight="1">
      <c r="I768" s="115"/>
      <c r="J768" s="115"/>
      <c r="K768" s="115"/>
      <c r="L768" s="115"/>
      <c r="M768" s="115"/>
      <c r="N768" s="115"/>
      <c r="O768" s="115"/>
    </row>
    <row r="769" ht="15.75" customHeight="1">
      <c r="I769" s="115"/>
      <c r="J769" s="115"/>
      <c r="K769" s="115"/>
      <c r="L769" s="115"/>
      <c r="M769" s="115"/>
      <c r="N769" s="115"/>
      <c r="O769" s="115"/>
    </row>
    <row r="770" ht="15.75" customHeight="1">
      <c r="I770" s="115"/>
      <c r="J770" s="115"/>
      <c r="K770" s="115"/>
      <c r="L770" s="115"/>
      <c r="M770" s="115"/>
      <c r="N770" s="115"/>
      <c r="O770" s="115"/>
    </row>
    <row r="771" ht="15.75" customHeight="1">
      <c r="I771" s="115"/>
      <c r="J771" s="115"/>
      <c r="K771" s="115"/>
      <c r="L771" s="115"/>
      <c r="M771" s="115"/>
      <c r="N771" s="115"/>
      <c r="O771" s="115"/>
    </row>
    <row r="772" ht="15.75" customHeight="1">
      <c r="I772" s="115"/>
      <c r="J772" s="115"/>
      <c r="K772" s="115"/>
      <c r="L772" s="115"/>
      <c r="M772" s="115"/>
      <c r="N772" s="115"/>
      <c r="O772" s="115"/>
    </row>
    <row r="773" ht="15.75" customHeight="1">
      <c r="I773" s="115"/>
      <c r="J773" s="115"/>
      <c r="K773" s="115"/>
      <c r="L773" s="115"/>
      <c r="M773" s="115"/>
      <c r="N773" s="115"/>
      <c r="O773" s="115"/>
    </row>
    <row r="774" ht="15.75" customHeight="1">
      <c r="I774" s="115"/>
      <c r="J774" s="115"/>
      <c r="K774" s="115"/>
      <c r="L774" s="115"/>
      <c r="M774" s="115"/>
      <c r="N774" s="115"/>
      <c r="O774" s="115"/>
    </row>
    <row r="775" ht="15.75" customHeight="1">
      <c r="I775" s="115"/>
      <c r="J775" s="115"/>
      <c r="K775" s="115"/>
      <c r="L775" s="115"/>
      <c r="M775" s="115"/>
      <c r="N775" s="115"/>
      <c r="O775" s="115"/>
    </row>
    <row r="776" ht="15.75" customHeight="1">
      <c r="I776" s="115"/>
      <c r="J776" s="115"/>
      <c r="K776" s="115"/>
      <c r="L776" s="115"/>
      <c r="M776" s="115"/>
      <c r="N776" s="115"/>
      <c r="O776" s="115"/>
    </row>
    <row r="777" ht="15.75" customHeight="1">
      <c r="I777" s="115"/>
      <c r="J777" s="115"/>
      <c r="K777" s="115"/>
      <c r="L777" s="115"/>
      <c r="M777" s="115"/>
      <c r="N777" s="115"/>
      <c r="O777" s="115"/>
    </row>
    <row r="778" ht="15.75" customHeight="1">
      <c r="I778" s="115"/>
      <c r="J778" s="115"/>
      <c r="K778" s="115"/>
      <c r="L778" s="115"/>
      <c r="M778" s="115"/>
      <c r="N778" s="115"/>
      <c r="O778" s="115"/>
    </row>
    <row r="779" ht="15.75" customHeight="1">
      <c r="I779" s="115"/>
      <c r="J779" s="115"/>
      <c r="K779" s="115"/>
      <c r="L779" s="115"/>
      <c r="M779" s="115"/>
      <c r="N779" s="115"/>
      <c r="O779" s="115"/>
    </row>
    <row r="780" ht="15.75" customHeight="1">
      <c r="I780" s="115"/>
      <c r="J780" s="115"/>
      <c r="K780" s="115"/>
      <c r="L780" s="115"/>
      <c r="M780" s="115"/>
      <c r="N780" s="115"/>
      <c r="O780" s="115"/>
    </row>
    <row r="781" ht="15.75" customHeight="1">
      <c r="I781" s="115"/>
      <c r="J781" s="115"/>
      <c r="K781" s="115"/>
      <c r="L781" s="115"/>
      <c r="M781" s="115"/>
      <c r="N781" s="115"/>
      <c r="O781" s="115"/>
    </row>
    <row r="782" ht="15.75" customHeight="1">
      <c r="I782" s="115"/>
      <c r="J782" s="115"/>
      <c r="K782" s="115"/>
      <c r="L782" s="115"/>
      <c r="M782" s="115"/>
      <c r="N782" s="115"/>
      <c r="O782" s="115"/>
    </row>
    <row r="783" ht="15.75" customHeight="1">
      <c r="I783" s="115"/>
      <c r="J783" s="115"/>
      <c r="K783" s="115"/>
      <c r="L783" s="115"/>
      <c r="M783" s="115"/>
      <c r="N783" s="115"/>
      <c r="O783" s="115"/>
    </row>
    <row r="784" ht="15.75" customHeight="1">
      <c r="I784" s="115"/>
      <c r="J784" s="115"/>
      <c r="K784" s="115"/>
      <c r="L784" s="115"/>
      <c r="M784" s="115"/>
      <c r="N784" s="115"/>
      <c r="O784" s="115"/>
    </row>
    <row r="785" ht="15.75" customHeight="1">
      <c r="I785" s="115"/>
      <c r="J785" s="115"/>
      <c r="K785" s="115"/>
      <c r="L785" s="115"/>
      <c r="M785" s="115"/>
      <c r="N785" s="115"/>
      <c r="O785" s="115"/>
    </row>
    <row r="786" ht="15.75" customHeight="1">
      <c r="I786" s="115"/>
      <c r="J786" s="115"/>
      <c r="K786" s="115"/>
      <c r="L786" s="115"/>
      <c r="M786" s="115"/>
      <c r="N786" s="115"/>
      <c r="O786" s="115"/>
    </row>
    <row r="787" ht="15.75" customHeight="1">
      <c r="I787" s="115"/>
      <c r="J787" s="115"/>
      <c r="K787" s="115"/>
      <c r="L787" s="115"/>
      <c r="M787" s="115"/>
      <c r="N787" s="115"/>
      <c r="O787" s="115"/>
    </row>
    <row r="788" ht="15.75" customHeight="1">
      <c r="I788" s="115"/>
      <c r="J788" s="115"/>
      <c r="K788" s="115"/>
      <c r="L788" s="115"/>
      <c r="M788" s="115"/>
      <c r="N788" s="115"/>
      <c r="O788" s="115"/>
    </row>
    <row r="789" ht="15.75" customHeight="1">
      <c r="I789" s="115"/>
      <c r="J789" s="115"/>
      <c r="K789" s="115"/>
      <c r="L789" s="115"/>
      <c r="M789" s="115"/>
      <c r="N789" s="115"/>
      <c r="O789" s="115"/>
    </row>
    <row r="790" ht="15.75" customHeight="1">
      <c r="I790" s="115"/>
      <c r="J790" s="115"/>
      <c r="K790" s="115"/>
      <c r="L790" s="115"/>
      <c r="M790" s="115"/>
      <c r="N790" s="115"/>
      <c r="O790" s="115"/>
    </row>
    <row r="791" ht="15.75" customHeight="1">
      <c r="I791" s="115"/>
      <c r="J791" s="115"/>
      <c r="K791" s="115"/>
      <c r="L791" s="115"/>
      <c r="M791" s="115"/>
      <c r="N791" s="115"/>
      <c r="O791" s="115"/>
    </row>
    <row r="792" ht="15.75" customHeight="1">
      <c r="I792" s="115"/>
      <c r="J792" s="115"/>
      <c r="K792" s="115"/>
      <c r="L792" s="115"/>
      <c r="M792" s="115"/>
      <c r="N792" s="115"/>
      <c r="O792" s="115"/>
    </row>
    <row r="793" ht="15.75" customHeight="1">
      <c r="I793" s="115"/>
      <c r="J793" s="115"/>
      <c r="K793" s="115"/>
      <c r="L793" s="115"/>
      <c r="M793" s="115"/>
      <c r="N793" s="115"/>
      <c r="O793" s="115"/>
    </row>
    <row r="794" ht="15.75" customHeight="1">
      <c r="I794" s="115"/>
      <c r="J794" s="115"/>
      <c r="K794" s="115"/>
      <c r="L794" s="115"/>
      <c r="M794" s="115"/>
      <c r="N794" s="115"/>
      <c r="O794" s="115"/>
    </row>
    <row r="795" ht="15.75" customHeight="1">
      <c r="I795" s="115"/>
      <c r="J795" s="115"/>
      <c r="K795" s="115"/>
      <c r="L795" s="115"/>
      <c r="M795" s="115"/>
      <c r="N795" s="115"/>
      <c r="O795" s="115"/>
    </row>
    <row r="796" ht="15.75" customHeight="1">
      <c r="I796" s="115"/>
      <c r="J796" s="115"/>
      <c r="K796" s="115"/>
      <c r="L796" s="115"/>
      <c r="M796" s="115"/>
      <c r="N796" s="115"/>
      <c r="O796" s="115"/>
    </row>
    <row r="797" ht="15.75" customHeight="1">
      <c r="I797" s="115"/>
      <c r="J797" s="115"/>
      <c r="K797" s="115"/>
      <c r="L797" s="115"/>
      <c r="M797" s="115"/>
      <c r="N797" s="115"/>
      <c r="O797" s="115"/>
    </row>
    <row r="798" ht="15.75" customHeight="1">
      <c r="I798" s="115"/>
      <c r="J798" s="115"/>
      <c r="K798" s="115"/>
      <c r="L798" s="115"/>
      <c r="M798" s="115"/>
      <c r="N798" s="115"/>
      <c r="O798" s="115"/>
    </row>
    <row r="799" ht="15.75" customHeight="1">
      <c r="I799" s="115"/>
      <c r="J799" s="115"/>
      <c r="K799" s="115"/>
      <c r="L799" s="115"/>
      <c r="M799" s="115"/>
      <c r="N799" s="115"/>
      <c r="O799" s="115"/>
    </row>
    <row r="800" ht="15.75" customHeight="1">
      <c r="I800" s="115"/>
      <c r="J800" s="115"/>
      <c r="K800" s="115"/>
      <c r="L800" s="115"/>
      <c r="M800" s="115"/>
      <c r="N800" s="115"/>
      <c r="O800" s="115"/>
    </row>
    <row r="801" ht="15.75" customHeight="1">
      <c r="I801" s="115"/>
      <c r="J801" s="115"/>
      <c r="K801" s="115"/>
      <c r="L801" s="115"/>
      <c r="M801" s="115"/>
      <c r="N801" s="115"/>
      <c r="O801" s="115"/>
    </row>
    <row r="802" ht="15.75" customHeight="1">
      <c r="I802" s="115"/>
      <c r="J802" s="115"/>
      <c r="K802" s="115"/>
      <c r="L802" s="115"/>
      <c r="M802" s="115"/>
      <c r="N802" s="115"/>
      <c r="O802" s="115"/>
    </row>
    <row r="803" ht="15.75" customHeight="1">
      <c r="I803" s="115"/>
      <c r="J803" s="115"/>
      <c r="K803" s="115"/>
      <c r="L803" s="115"/>
      <c r="M803" s="115"/>
      <c r="N803" s="115"/>
      <c r="O803" s="115"/>
    </row>
    <row r="804" ht="15.75" customHeight="1">
      <c r="I804" s="115"/>
      <c r="J804" s="115"/>
      <c r="K804" s="115"/>
      <c r="L804" s="115"/>
      <c r="M804" s="115"/>
      <c r="N804" s="115"/>
      <c r="O804" s="115"/>
    </row>
    <row r="805" ht="15.75" customHeight="1">
      <c r="I805" s="115"/>
      <c r="J805" s="115"/>
      <c r="K805" s="115"/>
      <c r="L805" s="115"/>
      <c r="M805" s="115"/>
      <c r="N805" s="115"/>
      <c r="O805" s="115"/>
    </row>
    <row r="806" ht="15.75" customHeight="1">
      <c r="I806" s="115"/>
      <c r="J806" s="115"/>
      <c r="K806" s="115"/>
      <c r="L806" s="115"/>
      <c r="M806" s="115"/>
      <c r="N806" s="115"/>
      <c r="O806" s="115"/>
    </row>
    <row r="807" ht="15.75" customHeight="1">
      <c r="I807" s="115"/>
      <c r="J807" s="115"/>
      <c r="K807" s="115"/>
      <c r="L807" s="115"/>
      <c r="M807" s="115"/>
      <c r="N807" s="115"/>
      <c r="O807" s="115"/>
    </row>
    <row r="808" ht="15.75" customHeight="1">
      <c r="I808" s="115"/>
      <c r="J808" s="115"/>
      <c r="K808" s="115"/>
      <c r="L808" s="115"/>
      <c r="M808" s="115"/>
      <c r="N808" s="115"/>
      <c r="O808" s="115"/>
    </row>
    <row r="809" ht="15.75" customHeight="1">
      <c r="I809" s="115"/>
      <c r="J809" s="115"/>
      <c r="K809" s="115"/>
      <c r="L809" s="115"/>
      <c r="M809" s="115"/>
      <c r="N809" s="115"/>
      <c r="O809" s="115"/>
    </row>
    <row r="810" ht="15.75" customHeight="1">
      <c r="I810" s="115"/>
      <c r="J810" s="115"/>
      <c r="K810" s="115"/>
      <c r="L810" s="115"/>
      <c r="M810" s="115"/>
      <c r="N810" s="115"/>
      <c r="O810" s="115"/>
    </row>
    <row r="811" ht="15.75" customHeight="1">
      <c r="I811" s="115"/>
      <c r="J811" s="115"/>
      <c r="K811" s="115"/>
      <c r="L811" s="115"/>
      <c r="M811" s="115"/>
      <c r="N811" s="115"/>
      <c r="O811" s="115"/>
    </row>
    <row r="812" ht="15.75" customHeight="1">
      <c r="I812" s="115"/>
      <c r="J812" s="115"/>
      <c r="K812" s="115"/>
      <c r="L812" s="115"/>
      <c r="M812" s="115"/>
      <c r="N812" s="115"/>
      <c r="O812" s="115"/>
    </row>
    <row r="813" ht="15.75" customHeight="1">
      <c r="I813" s="115"/>
      <c r="J813" s="115"/>
      <c r="K813" s="115"/>
      <c r="L813" s="115"/>
      <c r="M813" s="115"/>
      <c r="N813" s="115"/>
      <c r="O813" s="115"/>
    </row>
    <row r="814" ht="15.75" customHeight="1">
      <c r="I814" s="115"/>
      <c r="J814" s="115"/>
      <c r="K814" s="115"/>
      <c r="L814" s="115"/>
      <c r="M814" s="115"/>
      <c r="N814" s="115"/>
      <c r="O814" s="115"/>
    </row>
    <row r="815" ht="15.75" customHeight="1">
      <c r="I815" s="115"/>
      <c r="J815" s="115"/>
      <c r="K815" s="115"/>
      <c r="L815" s="115"/>
      <c r="M815" s="115"/>
      <c r="N815" s="115"/>
      <c r="O815" s="115"/>
    </row>
    <row r="816" ht="15.75" customHeight="1">
      <c r="I816" s="115"/>
      <c r="J816" s="115"/>
      <c r="K816" s="115"/>
      <c r="L816" s="115"/>
      <c r="M816" s="115"/>
      <c r="N816" s="115"/>
      <c r="O816" s="115"/>
    </row>
    <row r="817" ht="15.75" customHeight="1">
      <c r="I817" s="115"/>
      <c r="J817" s="115"/>
      <c r="K817" s="115"/>
      <c r="L817" s="115"/>
      <c r="M817" s="115"/>
      <c r="N817" s="115"/>
      <c r="O817" s="115"/>
    </row>
    <row r="818" ht="15.75" customHeight="1">
      <c r="I818" s="115"/>
      <c r="J818" s="115"/>
      <c r="K818" s="115"/>
      <c r="L818" s="115"/>
      <c r="M818" s="115"/>
      <c r="N818" s="115"/>
      <c r="O818" s="115"/>
    </row>
    <row r="819" ht="15.75" customHeight="1">
      <c r="I819" s="115"/>
      <c r="J819" s="115"/>
      <c r="K819" s="115"/>
      <c r="L819" s="115"/>
      <c r="M819" s="115"/>
      <c r="N819" s="115"/>
      <c r="O819" s="115"/>
    </row>
    <row r="820" ht="15.75" customHeight="1">
      <c r="I820" s="115"/>
      <c r="J820" s="115"/>
      <c r="K820" s="115"/>
      <c r="L820" s="115"/>
      <c r="M820" s="115"/>
      <c r="N820" s="115"/>
      <c r="O820" s="115"/>
    </row>
    <row r="821" ht="15.75" customHeight="1">
      <c r="I821" s="115"/>
      <c r="J821" s="115"/>
      <c r="K821" s="115"/>
      <c r="L821" s="115"/>
      <c r="M821" s="115"/>
      <c r="N821" s="115"/>
      <c r="O821" s="115"/>
    </row>
    <row r="822" ht="15.75" customHeight="1">
      <c r="I822" s="115"/>
      <c r="J822" s="115"/>
      <c r="K822" s="115"/>
      <c r="L822" s="115"/>
      <c r="M822" s="115"/>
      <c r="N822" s="115"/>
      <c r="O822" s="115"/>
    </row>
    <row r="823" ht="15.75" customHeight="1">
      <c r="I823" s="115"/>
      <c r="J823" s="115"/>
      <c r="K823" s="115"/>
      <c r="L823" s="115"/>
      <c r="M823" s="115"/>
      <c r="N823" s="115"/>
      <c r="O823" s="115"/>
    </row>
    <row r="824" ht="15.75" customHeight="1">
      <c r="I824" s="115"/>
      <c r="J824" s="115"/>
      <c r="K824" s="115"/>
      <c r="L824" s="115"/>
      <c r="M824" s="115"/>
      <c r="N824" s="115"/>
      <c r="O824" s="115"/>
    </row>
    <row r="825" ht="15.75" customHeight="1">
      <c r="I825" s="115"/>
      <c r="J825" s="115"/>
      <c r="K825" s="115"/>
      <c r="L825" s="115"/>
      <c r="M825" s="115"/>
      <c r="N825" s="115"/>
      <c r="O825" s="115"/>
    </row>
    <row r="826" ht="15.75" customHeight="1">
      <c r="I826" s="115"/>
      <c r="J826" s="115"/>
      <c r="K826" s="115"/>
      <c r="L826" s="115"/>
      <c r="M826" s="115"/>
      <c r="N826" s="115"/>
      <c r="O826" s="115"/>
    </row>
    <row r="827" ht="15.75" customHeight="1">
      <c r="I827" s="115"/>
      <c r="J827" s="115"/>
      <c r="K827" s="115"/>
      <c r="L827" s="115"/>
      <c r="M827" s="115"/>
      <c r="N827" s="115"/>
      <c r="O827" s="115"/>
    </row>
    <row r="828" ht="15.75" customHeight="1">
      <c r="I828" s="115"/>
      <c r="J828" s="115"/>
      <c r="K828" s="115"/>
      <c r="L828" s="115"/>
      <c r="M828" s="115"/>
      <c r="N828" s="115"/>
      <c r="O828" s="115"/>
    </row>
    <row r="829" ht="15.75" customHeight="1">
      <c r="I829" s="115"/>
      <c r="J829" s="115"/>
      <c r="K829" s="115"/>
      <c r="L829" s="115"/>
      <c r="M829" s="115"/>
      <c r="N829" s="115"/>
      <c r="O829" s="115"/>
    </row>
    <row r="830" ht="15.75" customHeight="1">
      <c r="I830" s="115"/>
      <c r="J830" s="115"/>
      <c r="K830" s="115"/>
      <c r="L830" s="115"/>
      <c r="M830" s="115"/>
      <c r="N830" s="115"/>
      <c r="O830" s="115"/>
    </row>
    <row r="831" ht="15.75" customHeight="1">
      <c r="I831" s="115"/>
      <c r="J831" s="115"/>
      <c r="K831" s="115"/>
      <c r="L831" s="115"/>
      <c r="M831" s="115"/>
      <c r="N831" s="115"/>
      <c r="O831" s="115"/>
    </row>
    <row r="832" ht="15.75" customHeight="1">
      <c r="I832" s="115"/>
      <c r="J832" s="115"/>
      <c r="K832" s="115"/>
      <c r="L832" s="115"/>
      <c r="M832" s="115"/>
      <c r="N832" s="115"/>
      <c r="O832" s="115"/>
    </row>
    <row r="833" ht="15.75" customHeight="1">
      <c r="I833" s="115"/>
      <c r="J833" s="115"/>
      <c r="K833" s="115"/>
      <c r="L833" s="115"/>
      <c r="M833" s="115"/>
      <c r="N833" s="115"/>
      <c r="O833" s="115"/>
    </row>
    <row r="834" ht="15.75" customHeight="1">
      <c r="I834" s="115"/>
      <c r="J834" s="115"/>
      <c r="K834" s="115"/>
      <c r="L834" s="115"/>
      <c r="M834" s="115"/>
      <c r="N834" s="115"/>
      <c r="O834" s="115"/>
    </row>
    <row r="835" ht="15.75" customHeight="1">
      <c r="I835" s="115"/>
      <c r="J835" s="115"/>
      <c r="K835" s="115"/>
      <c r="L835" s="115"/>
      <c r="M835" s="115"/>
      <c r="N835" s="115"/>
      <c r="O835" s="115"/>
    </row>
    <row r="836" ht="15.75" customHeight="1">
      <c r="I836" s="115"/>
      <c r="J836" s="115"/>
      <c r="K836" s="115"/>
      <c r="L836" s="115"/>
      <c r="M836" s="115"/>
      <c r="N836" s="115"/>
      <c r="O836" s="115"/>
    </row>
    <row r="837" ht="15.75" customHeight="1">
      <c r="I837" s="115"/>
      <c r="J837" s="115"/>
      <c r="K837" s="115"/>
      <c r="L837" s="115"/>
      <c r="M837" s="115"/>
      <c r="N837" s="115"/>
      <c r="O837" s="115"/>
    </row>
    <row r="838" ht="15.75" customHeight="1">
      <c r="I838" s="115"/>
      <c r="J838" s="115"/>
      <c r="K838" s="115"/>
      <c r="L838" s="115"/>
      <c r="M838" s="115"/>
      <c r="N838" s="115"/>
      <c r="O838" s="115"/>
    </row>
    <row r="839" ht="15.75" customHeight="1">
      <c r="I839" s="115"/>
      <c r="J839" s="115"/>
      <c r="K839" s="115"/>
      <c r="L839" s="115"/>
      <c r="M839" s="115"/>
      <c r="N839" s="115"/>
      <c r="O839" s="115"/>
    </row>
    <row r="840" ht="15.75" customHeight="1">
      <c r="I840" s="115"/>
      <c r="J840" s="115"/>
      <c r="K840" s="115"/>
      <c r="L840" s="115"/>
      <c r="M840" s="115"/>
      <c r="N840" s="115"/>
      <c r="O840" s="115"/>
    </row>
    <row r="841" ht="15.75" customHeight="1">
      <c r="I841" s="115"/>
      <c r="J841" s="115"/>
      <c r="K841" s="115"/>
      <c r="L841" s="115"/>
      <c r="M841" s="115"/>
      <c r="N841" s="115"/>
      <c r="O841" s="115"/>
    </row>
    <row r="842" ht="15.75" customHeight="1">
      <c r="I842" s="115"/>
      <c r="J842" s="115"/>
      <c r="K842" s="115"/>
      <c r="L842" s="115"/>
      <c r="M842" s="115"/>
      <c r="N842" s="115"/>
      <c r="O842" s="115"/>
    </row>
    <row r="843" ht="15.75" customHeight="1">
      <c r="I843" s="115"/>
      <c r="J843" s="115"/>
      <c r="K843" s="115"/>
      <c r="L843" s="115"/>
      <c r="M843" s="115"/>
      <c r="N843" s="115"/>
      <c r="O843" s="115"/>
    </row>
    <row r="844" ht="15.75" customHeight="1">
      <c r="I844" s="115"/>
      <c r="J844" s="115"/>
      <c r="K844" s="115"/>
      <c r="L844" s="115"/>
      <c r="M844" s="115"/>
      <c r="N844" s="115"/>
      <c r="O844" s="115"/>
    </row>
    <row r="845" ht="15.75" customHeight="1">
      <c r="I845" s="115"/>
      <c r="J845" s="115"/>
      <c r="K845" s="115"/>
      <c r="L845" s="115"/>
      <c r="M845" s="115"/>
      <c r="N845" s="115"/>
      <c r="O845" s="115"/>
    </row>
    <row r="846" ht="15.75" customHeight="1">
      <c r="I846" s="115"/>
      <c r="J846" s="115"/>
      <c r="K846" s="115"/>
      <c r="L846" s="115"/>
      <c r="M846" s="115"/>
      <c r="N846" s="115"/>
      <c r="O846" s="115"/>
    </row>
    <row r="847" ht="15.75" customHeight="1">
      <c r="I847" s="115"/>
      <c r="J847" s="115"/>
      <c r="K847" s="115"/>
      <c r="L847" s="115"/>
      <c r="M847" s="115"/>
      <c r="N847" s="115"/>
      <c r="O847" s="115"/>
    </row>
    <row r="848" ht="15.75" customHeight="1">
      <c r="I848" s="115"/>
      <c r="J848" s="115"/>
      <c r="K848" s="115"/>
      <c r="L848" s="115"/>
      <c r="M848" s="115"/>
      <c r="N848" s="115"/>
      <c r="O848" s="115"/>
    </row>
    <row r="849" ht="15.75" customHeight="1">
      <c r="I849" s="115"/>
      <c r="J849" s="115"/>
      <c r="K849" s="115"/>
      <c r="L849" s="115"/>
      <c r="M849" s="115"/>
      <c r="N849" s="115"/>
      <c r="O849" s="115"/>
    </row>
    <row r="850" ht="15.75" customHeight="1">
      <c r="I850" s="115"/>
      <c r="J850" s="115"/>
      <c r="K850" s="115"/>
      <c r="L850" s="115"/>
      <c r="M850" s="115"/>
      <c r="N850" s="115"/>
      <c r="O850" s="115"/>
    </row>
    <row r="851" ht="15.75" customHeight="1">
      <c r="I851" s="115"/>
      <c r="J851" s="115"/>
      <c r="K851" s="115"/>
      <c r="L851" s="115"/>
      <c r="M851" s="115"/>
      <c r="N851" s="115"/>
      <c r="O851" s="115"/>
    </row>
    <row r="852" ht="15.75" customHeight="1">
      <c r="I852" s="115"/>
      <c r="J852" s="115"/>
      <c r="K852" s="115"/>
      <c r="L852" s="115"/>
      <c r="M852" s="115"/>
      <c r="N852" s="115"/>
      <c r="O852" s="115"/>
    </row>
    <row r="853" ht="15.75" customHeight="1">
      <c r="I853" s="115"/>
      <c r="J853" s="115"/>
      <c r="K853" s="115"/>
      <c r="L853" s="115"/>
      <c r="M853" s="115"/>
      <c r="N853" s="115"/>
      <c r="O853" s="115"/>
    </row>
    <row r="854" ht="15.75" customHeight="1">
      <c r="I854" s="115"/>
      <c r="J854" s="115"/>
      <c r="K854" s="115"/>
      <c r="L854" s="115"/>
      <c r="M854" s="115"/>
      <c r="N854" s="115"/>
      <c r="O854" s="115"/>
    </row>
    <row r="855" ht="15.75" customHeight="1">
      <c r="I855" s="115"/>
      <c r="J855" s="115"/>
      <c r="K855" s="115"/>
      <c r="L855" s="115"/>
      <c r="M855" s="115"/>
      <c r="N855" s="115"/>
      <c r="O855" s="115"/>
    </row>
    <row r="856" ht="15.75" customHeight="1">
      <c r="I856" s="115"/>
      <c r="J856" s="115"/>
      <c r="K856" s="115"/>
      <c r="L856" s="115"/>
      <c r="M856" s="115"/>
      <c r="N856" s="115"/>
      <c r="O856" s="115"/>
    </row>
    <row r="857" ht="15.75" customHeight="1">
      <c r="I857" s="115"/>
      <c r="J857" s="115"/>
      <c r="K857" s="115"/>
      <c r="L857" s="115"/>
      <c r="M857" s="115"/>
      <c r="N857" s="115"/>
      <c r="O857" s="115"/>
    </row>
    <row r="858" ht="15.75" customHeight="1">
      <c r="I858" s="115"/>
      <c r="J858" s="115"/>
      <c r="K858" s="115"/>
      <c r="L858" s="115"/>
      <c r="M858" s="115"/>
      <c r="N858" s="115"/>
      <c r="O858" s="115"/>
    </row>
    <row r="859" ht="15.75" customHeight="1">
      <c r="I859" s="115"/>
      <c r="J859" s="115"/>
      <c r="K859" s="115"/>
      <c r="L859" s="115"/>
      <c r="M859" s="115"/>
      <c r="N859" s="115"/>
      <c r="O859" s="115"/>
    </row>
    <row r="860" ht="15.75" customHeight="1">
      <c r="I860" s="115"/>
      <c r="J860" s="115"/>
      <c r="K860" s="115"/>
      <c r="L860" s="115"/>
      <c r="M860" s="115"/>
      <c r="N860" s="115"/>
      <c r="O860" s="115"/>
    </row>
    <row r="861" ht="15.75" customHeight="1">
      <c r="I861" s="115"/>
      <c r="J861" s="115"/>
      <c r="K861" s="115"/>
      <c r="L861" s="115"/>
      <c r="M861" s="115"/>
      <c r="N861" s="115"/>
      <c r="O861" s="115"/>
    </row>
    <row r="862" ht="15.75" customHeight="1">
      <c r="I862" s="115"/>
      <c r="J862" s="115"/>
      <c r="K862" s="115"/>
      <c r="L862" s="115"/>
      <c r="M862" s="115"/>
      <c r="N862" s="115"/>
      <c r="O862" s="115"/>
    </row>
    <row r="863" ht="15.75" customHeight="1">
      <c r="I863" s="115"/>
      <c r="J863" s="115"/>
      <c r="K863" s="115"/>
      <c r="L863" s="115"/>
      <c r="M863" s="115"/>
      <c r="N863" s="115"/>
      <c r="O863" s="115"/>
    </row>
    <row r="864" ht="15.75" customHeight="1">
      <c r="I864" s="115"/>
      <c r="J864" s="115"/>
      <c r="K864" s="115"/>
      <c r="L864" s="115"/>
      <c r="M864" s="115"/>
      <c r="N864" s="115"/>
      <c r="O864" s="115"/>
    </row>
    <row r="865" ht="15.75" customHeight="1">
      <c r="I865" s="115"/>
      <c r="J865" s="115"/>
      <c r="K865" s="115"/>
      <c r="L865" s="115"/>
      <c r="M865" s="115"/>
      <c r="N865" s="115"/>
      <c r="O865" s="115"/>
    </row>
    <row r="866" ht="15.75" customHeight="1">
      <c r="I866" s="115"/>
      <c r="J866" s="115"/>
      <c r="K866" s="115"/>
      <c r="L866" s="115"/>
      <c r="M866" s="115"/>
      <c r="N866" s="115"/>
      <c r="O866" s="115"/>
    </row>
    <row r="867" ht="15.75" customHeight="1">
      <c r="I867" s="115"/>
      <c r="J867" s="115"/>
      <c r="K867" s="115"/>
      <c r="L867" s="115"/>
      <c r="M867" s="115"/>
      <c r="N867" s="115"/>
      <c r="O867" s="115"/>
    </row>
    <row r="868" ht="15.75" customHeight="1">
      <c r="I868" s="115"/>
      <c r="J868" s="115"/>
      <c r="K868" s="115"/>
      <c r="L868" s="115"/>
      <c r="M868" s="115"/>
      <c r="N868" s="115"/>
      <c r="O868" s="115"/>
    </row>
    <row r="869" ht="15.75" customHeight="1">
      <c r="I869" s="115"/>
      <c r="J869" s="115"/>
      <c r="K869" s="115"/>
      <c r="L869" s="115"/>
      <c r="M869" s="115"/>
      <c r="N869" s="115"/>
      <c r="O869" s="115"/>
    </row>
    <row r="870" ht="15.75" customHeight="1">
      <c r="I870" s="115"/>
      <c r="J870" s="115"/>
      <c r="K870" s="115"/>
      <c r="L870" s="115"/>
      <c r="M870" s="115"/>
      <c r="N870" s="115"/>
      <c r="O870" s="115"/>
    </row>
    <row r="871" ht="15.75" customHeight="1">
      <c r="I871" s="115"/>
      <c r="J871" s="115"/>
      <c r="K871" s="115"/>
      <c r="L871" s="115"/>
      <c r="M871" s="115"/>
      <c r="N871" s="115"/>
      <c r="O871" s="115"/>
    </row>
    <row r="872" ht="15.75" customHeight="1">
      <c r="I872" s="115"/>
      <c r="J872" s="115"/>
      <c r="K872" s="115"/>
      <c r="L872" s="115"/>
      <c r="M872" s="115"/>
      <c r="N872" s="115"/>
      <c r="O872" s="115"/>
    </row>
    <row r="873" ht="15.75" customHeight="1">
      <c r="I873" s="115"/>
      <c r="J873" s="115"/>
      <c r="K873" s="115"/>
      <c r="L873" s="115"/>
      <c r="M873" s="115"/>
      <c r="N873" s="115"/>
      <c r="O873" s="115"/>
    </row>
    <row r="874" ht="15.75" customHeight="1">
      <c r="I874" s="115"/>
      <c r="J874" s="115"/>
      <c r="K874" s="115"/>
      <c r="L874" s="115"/>
      <c r="M874" s="115"/>
      <c r="N874" s="115"/>
      <c r="O874" s="115"/>
    </row>
    <row r="875" ht="15.75" customHeight="1">
      <c r="I875" s="115"/>
      <c r="J875" s="115"/>
      <c r="K875" s="115"/>
      <c r="L875" s="115"/>
      <c r="M875" s="115"/>
      <c r="N875" s="115"/>
      <c r="O875" s="115"/>
    </row>
    <row r="876" ht="15.75" customHeight="1">
      <c r="I876" s="115"/>
      <c r="J876" s="115"/>
      <c r="K876" s="115"/>
      <c r="L876" s="115"/>
      <c r="M876" s="115"/>
      <c r="N876" s="115"/>
      <c r="O876" s="115"/>
    </row>
    <row r="877" ht="15.75" customHeight="1">
      <c r="I877" s="115"/>
      <c r="J877" s="115"/>
      <c r="K877" s="115"/>
      <c r="L877" s="115"/>
      <c r="M877" s="115"/>
      <c r="N877" s="115"/>
      <c r="O877" s="115"/>
    </row>
    <row r="878" ht="15.75" customHeight="1">
      <c r="I878" s="115"/>
      <c r="J878" s="115"/>
      <c r="K878" s="115"/>
      <c r="L878" s="115"/>
      <c r="M878" s="115"/>
      <c r="N878" s="115"/>
      <c r="O878" s="115"/>
    </row>
    <row r="879" ht="15.75" customHeight="1">
      <c r="I879" s="115"/>
      <c r="J879" s="115"/>
      <c r="K879" s="115"/>
      <c r="L879" s="115"/>
      <c r="M879" s="115"/>
      <c r="N879" s="115"/>
      <c r="O879" s="115"/>
    </row>
    <row r="880" ht="15.75" customHeight="1">
      <c r="I880" s="115"/>
      <c r="J880" s="115"/>
      <c r="K880" s="115"/>
      <c r="L880" s="115"/>
      <c r="M880" s="115"/>
      <c r="N880" s="115"/>
      <c r="O880" s="115"/>
    </row>
    <row r="881" ht="15.75" customHeight="1">
      <c r="I881" s="115"/>
      <c r="J881" s="115"/>
      <c r="K881" s="115"/>
      <c r="L881" s="115"/>
      <c r="M881" s="115"/>
      <c r="N881" s="115"/>
      <c r="O881" s="115"/>
    </row>
    <row r="882" ht="15.75" customHeight="1">
      <c r="I882" s="115"/>
      <c r="J882" s="115"/>
      <c r="K882" s="115"/>
      <c r="L882" s="115"/>
      <c r="M882" s="115"/>
      <c r="N882" s="115"/>
      <c r="O882" s="115"/>
    </row>
    <row r="883" ht="15.75" customHeight="1">
      <c r="I883" s="115"/>
      <c r="J883" s="115"/>
      <c r="K883" s="115"/>
      <c r="L883" s="115"/>
      <c r="M883" s="115"/>
      <c r="N883" s="115"/>
      <c r="O883" s="115"/>
    </row>
    <row r="884" ht="15.75" customHeight="1">
      <c r="I884" s="115"/>
      <c r="J884" s="115"/>
      <c r="K884" s="115"/>
      <c r="L884" s="115"/>
      <c r="M884" s="115"/>
      <c r="N884" s="115"/>
      <c r="O884" s="115"/>
    </row>
    <row r="885" ht="15.75" customHeight="1">
      <c r="I885" s="115"/>
      <c r="J885" s="115"/>
      <c r="K885" s="115"/>
      <c r="L885" s="115"/>
      <c r="M885" s="115"/>
      <c r="N885" s="115"/>
      <c r="O885" s="115"/>
    </row>
    <row r="886" ht="15.75" customHeight="1">
      <c r="I886" s="115"/>
      <c r="J886" s="115"/>
      <c r="K886" s="115"/>
      <c r="L886" s="115"/>
      <c r="M886" s="115"/>
      <c r="N886" s="115"/>
      <c r="O886" s="115"/>
    </row>
    <row r="887" ht="15.75" customHeight="1">
      <c r="I887" s="115"/>
      <c r="J887" s="115"/>
      <c r="K887" s="115"/>
      <c r="L887" s="115"/>
      <c r="M887" s="115"/>
      <c r="N887" s="115"/>
      <c r="O887" s="115"/>
    </row>
    <row r="888" ht="15.75" customHeight="1">
      <c r="I888" s="115"/>
      <c r="J888" s="115"/>
      <c r="K888" s="115"/>
      <c r="L888" s="115"/>
      <c r="M888" s="115"/>
      <c r="N888" s="115"/>
      <c r="O888" s="115"/>
    </row>
    <row r="889" ht="15.75" customHeight="1">
      <c r="I889" s="115"/>
      <c r="J889" s="115"/>
      <c r="K889" s="115"/>
      <c r="L889" s="115"/>
      <c r="M889" s="115"/>
      <c r="N889" s="115"/>
      <c r="O889" s="115"/>
    </row>
    <row r="890" ht="15.75" customHeight="1">
      <c r="I890" s="115"/>
      <c r="J890" s="115"/>
      <c r="K890" s="115"/>
      <c r="L890" s="115"/>
      <c r="M890" s="115"/>
      <c r="N890" s="115"/>
      <c r="O890" s="115"/>
    </row>
    <row r="891" ht="15.75" customHeight="1">
      <c r="I891" s="115"/>
      <c r="J891" s="115"/>
      <c r="K891" s="115"/>
      <c r="L891" s="115"/>
      <c r="M891" s="115"/>
      <c r="N891" s="115"/>
      <c r="O891" s="115"/>
    </row>
    <row r="892" ht="15.75" customHeight="1">
      <c r="I892" s="115"/>
      <c r="J892" s="115"/>
      <c r="K892" s="115"/>
      <c r="L892" s="115"/>
      <c r="M892" s="115"/>
      <c r="N892" s="115"/>
      <c r="O892" s="115"/>
    </row>
    <row r="893" ht="15.75" customHeight="1">
      <c r="I893" s="115"/>
      <c r="J893" s="115"/>
      <c r="K893" s="115"/>
      <c r="L893" s="115"/>
      <c r="M893" s="115"/>
      <c r="N893" s="115"/>
      <c r="O893" s="115"/>
    </row>
    <row r="894" ht="15.75" customHeight="1">
      <c r="I894" s="115"/>
      <c r="J894" s="115"/>
      <c r="K894" s="115"/>
      <c r="L894" s="115"/>
      <c r="M894" s="115"/>
      <c r="N894" s="115"/>
      <c r="O894" s="115"/>
    </row>
    <row r="895" ht="15.75" customHeight="1">
      <c r="I895" s="115"/>
      <c r="J895" s="115"/>
      <c r="K895" s="115"/>
      <c r="L895" s="115"/>
      <c r="M895" s="115"/>
      <c r="N895" s="115"/>
      <c r="O895" s="115"/>
    </row>
    <row r="896" ht="15.75" customHeight="1">
      <c r="I896" s="115"/>
      <c r="J896" s="115"/>
      <c r="K896" s="115"/>
      <c r="L896" s="115"/>
      <c r="M896" s="115"/>
      <c r="N896" s="115"/>
      <c r="O896" s="115"/>
    </row>
    <row r="897" ht="15.75" customHeight="1">
      <c r="I897" s="115"/>
      <c r="J897" s="115"/>
      <c r="K897" s="115"/>
      <c r="L897" s="115"/>
      <c r="M897" s="115"/>
      <c r="N897" s="115"/>
      <c r="O897" s="115"/>
    </row>
    <row r="898" ht="15.75" customHeight="1">
      <c r="I898" s="115"/>
      <c r="J898" s="115"/>
      <c r="K898" s="115"/>
      <c r="L898" s="115"/>
      <c r="M898" s="115"/>
      <c r="N898" s="115"/>
      <c r="O898" s="115"/>
    </row>
    <row r="899" ht="15.75" customHeight="1">
      <c r="I899" s="115"/>
      <c r="J899" s="115"/>
      <c r="K899" s="115"/>
      <c r="L899" s="115"/>
      <c r="M899" s="115"/>
      <c r="N899" s="115"/>
      <c r="O899" s="115"/>
    </row>
    <row r="900" ht="15.75" customHeight="1">
      <c r="I900" s="115"/>
      <c r="J900" s="115"/>
      <c r="K900" s="115"/>
      <c r="L900" s="115"/>
      <c r="M900" s="115"/>
      <c r="N900" s="115"/>
      <c r="O900" s="115"/>
    </row>
    <row r="901" ht="15.75" customHeight="1">
      <c r="I901" s="115"/>
      <c r="J901" s="115"/>
      <c r="K901" s="115"/>
      <c r="L901" s="115"/>
      <c r="M901" s="115"/>
      <c r="N901" s="115"/>
      <c r="O901" s="115"/>
    </row>
    <row r="902" ht="15.75" customHeight="1">
      <c r="I902" s="115"/>
      <c r="J902" s="115"/>
      <c r="K902" s="115"/>
      <c r="L902" s="115"/>
      <c r="M902" s="115"/>
      <c r="N902" s="115"/>
      <c r="O902" s="115"/>
    </row>
    <row r="903" ht="15.75" customHeight="1">
      <c r="I903" s="115"/>
      <c r="J903" s="115"/>
      <c r="K903" s="115"/>
      <c r="L903" s="115"/>
      <c r="M903" s="115"/>
      <c r="N903" s="115"/>
      <c r="O903" s="115"/>
    </row>
    <row r="904" ht="15.75" customHeight="1">
      <c r="I904" s="115"/>
      <c r="J904" s="115"/>
      <c r="K904" s="115"/>
      <c r="L904" s="115"/>
      <c r="M904" s="115"/>
      <c r="N904" s="115"/>
      <c r="O904" s="115"/>
    </row>
    <row r="905" ht="15.75" customHeight="1">
      <c r="I905" s="115"/>
      <c r="J905" s="115"/>
      <c r="K905" s="115"/>
      <c r="L905" s="115"/>
      <c r="M905" s="115"/>
      <c r="N905" s="115"/>
      <c r="O905" s="115"/>
    </row>
    <row r="906" ht="15.75" customHeight="1">
      <c r="I906" s="115"/>
      <c r="J906" s="115"/>
      <c r="K906" s="115"/>
      <c r="L906" s="115"/>
      <c r="M906" s="115"/>
      <c r="N906" s="115"/>
      <c r="O906" s="115"/>
    </row>
    <row r="907" ht="15.75" customHeight="1">
      <c r="I907" s="115"/>
      <c r="J907" s="115"/>
      <c r="K907" s="115"/>
      <c r="L907" s="115"/>
      <c r="M907" s="115"/>
      <c r="N907" s="115"/>
      <c r="O907" s="115"/>
    </row>
    <row r="908" ht="15.75" customHeight="1">
      <c r="I908" s="115"/>
      <c r="J908" s="115"/>
      <c r="K908" s="115"/>
      <c r="L908" s="115"/>
      <c r="M908" s="115"/>
      <c r="N908" s="115"/>
      <c r="O908" s="115"/>
    </row>
    <row r="909" ht="15.75" customHeight="1">
      <c r="I909" s="115"/>
      <c r="J909" s="115"/>
      <c r="K909" s="115"/>
      <c r="L909" s="115"/>
      <c r="M909" s="115"/>
      <c r="N909" s="115"/>
      <c r="O909" s="115"/>
    </row>
    <row r="910" ht="15.75" customHeight="1">
      <c r="I910" s="115"/>
      <c r="J910" s="115"/>
      <c r="K910" s="115"/>
      <c r="L910" s="115"/>
      <c r="M910" s="115"/>
      <c r="N910" s="115"/>
      <c r="O910" s="115"/>
    </row>
    <row r="911" ht="15.75" customHeight="1">
      <c r="I911" s="115"/>
      <c r="J911" s="115"/>
      <c r="K911" s="115"/>
      <c r="L911" s="115"/>
      <c r="M911" s="115"/>
      <c r="N911" s="115"/>
      <c r="O911" s="115"/>
    </row>
    <row r="912" ht="15.75" customHeight="1">
      <c r="I912" s="115"/>
      <c r="J912" s="115"/>
      <c r="K912" s="115"/>
      <c r="L912" s="115"/>
      <c r="M912" s="115"/>
      <c r="N912" s="115"/>
      <c r="O912" s="115"/>
    </row>
    <row r="913" ht="15.75" customHeight="1">
      <c r="I913" s="115"/>
      <c r="J913" s="115"/>
      <c r="K913" s="115"/>
      <c r="L913" s="115"/>
      <c r="M913" s="115"/>
      <c r="N913" s="115"/>
      <c r="O913" s="115"/>
    </row>
    <row r="914" ht="15.75" customHeight="1">
      <c r="I914" s="115"/>
      <c r="J914" s="115"/>
      <c r="K914" s="115"/>
      <c r="L914" s="115"/>
      <c r="M914" s="115"/>
      <c r="N914" s="115"/>
      <c r="O914" s="115"/>
    </row>
    <row r="915" ht="15.75" customHeight="1">
      <c r="I915" s="115"/>
      <c r="J915" s="115"/>
      <c r="K915" s="115"/>
      <c r="L915" s="115"/>
      <c r="M915" s="115"/>
      <c r="N915" s="115"/>
      <c r="O915" s="115"/>
    </row>
    <row r="916" ht="15.75" customHeight="1">
      <c r="I916" s="115"/>
      <c r="J916" s="115"/>
      <c r="K916" s="115"/>
      <c r="L916" s="115"/>
      <c r="M916" s="115"/>
      <c r="N916" s="115"/>
      <c r="O916" s="115"/>
    </row>
    <row r="917" ht="15.75" customHeight="1">
      <c r="I917" s="115"/>
      <c r="J917" s="115"/>
      <c r="K917" s="115"/>
      <c r="L917" s="115"/>
      <c r="M917" s="115"/>
      <c r="N917" s="115"/>
      <c r="O917" s="115"/>
    </row>
    <row r="918" ht="15.75" customHeight="1">
      <c r="I918" s="115"/>
      <c r="J918" s="115"/>
      <c r="K918" s="115"/>
      <c r="L918" s="115"/>
      <c r="M918" s="115"/>
      <c r="N918" s="115"/>
      <c r="O918" s="115"/>
    </row>
    <row r="919" ht="15.75" customHeight="1">
      <c r="I919" s="115"/>
      <c r="J919" s="115"/>
      <c r="K919" s="115"/>
      <c r="L919" s="115"/>
      <c r="M919" s="115"/>
      <c r="N919" s="115"/>
      <c r="O919" s="115"/>
    </row>
    <row r="920" ht="15.75" customHeight="1">
      <c r="I920" s="115"/>
      <c r="J920" s="115"/>
      <c r="K920" s="115"/>
      <c r="L920" s="115"/>
      <c r="M920" s="115"/>
      <c r="N920" s="115"/>
      <c r="O920" s="115"/>
    </row>
    <row r="921" ht="15.75" customHeight="1">
      <c r="I921" s="115"/>
      <c r="J921" s="115"/>
      <c r="K921" s="115"/>
      <c r="L921" s="115"/>
      <c r="M921" s="115"/>
      <c r="N921" s="115"/>
      <c r="O921" s="115"/>
    </row>
    <row r="922" ht="15.75" customHeight="1">
      <c r="I922" s="115"/>
      <c r="J922" s="115"/>
      <c r="K922" s="115"/>
      <c r="L922" s="115"/>
      <c r="M922" s="115"/>
      <c r="N922" s="115"/>
      <c r="O922" s="115"/>
    </row>
    <row r="923" ht="15.75" customHeight="1">
      <c r="I923" s="115"/>
      <c r="J923" s="115"/>
      <c r="K923" s="115"/>
      <c r="L923" s="115"/>
      <c r="M923" s="115"/>
      <c r="N923" s="115"/>
      <c r="O923" s="115"/>
    </row>
    <row r="924" ht="15.75" customHeight="1">
      <c r="I924" s="115"/>
      <c r="J924" s="115"/>
      <c r="K924" s="115"/>
      <c r="L924" s="115"/>
      <c r="M924" s="115"/>
      <c r="N924" s="115"/>
      <c r="O924" s="115"/>
    </row>
    <row r="925" ht="15.75" customHeight="1">
      <c r="I925" s="115"/>
      <c r="J925" s="115"/>
      <c r="K925" s="115"/>
      <c r="L925" s="115"/>
      <c r="M925" s="115"/>
      <c r="N925" s="115"/>
      <c r="O925" s="115"/>
    </row>
    <row r="926" ht="15.75" customHeight="1">
      <c r="I926" s="115"/>
      <c r="J926" s="115"/>
      <c r="K926" s="115"/>
      <c r="L926" s="115"/>
      <c r="M926" s="115"/>
      <c r="N926" s="115"/>
      <c r="O926" s="115"/>
    </row>
    <row r="927" ht="15.75" customHeight="1">
      <c r="I927" s="115"/>
      <c r="J927" s="115"/>
      <c r="K927" s="115"/>
      <c r="L927" s="115"/>
      <c r="M927" s="115"/>
      <c r="N927" s="115"/>
      <c r="O927" s="115"/>
    </row>
    <row r="928" ht="15.75" customHeight="1">
      <c r="I928" s="115"/>
      <c r="J928" s="115"/>
      <c r="K928" s="115"/>
      <c r="L928" s="115"/>
      <c r="M928" s="115"/>
      <c r="N928" s="115"/>
      <c r="O928" s="115"/>
    </row>
    <row r="929" ht="15.75" customHeight="1">
      <c r="I929" s="115"/>
      <c r="J929" s="115"/>
      <c r="K929" s="115"/>
      <c r="L929" s="115"/>
      <c r="M929" s="115"/>
      <c r="N929" s="115"/>
      <c r="O929" s="115"/>
    </row>
    <row r="930" ht="15.75" customHeight="1">
      <c r="I930" s="115"/>
      <c r="J930" s="115"/>
      <c r="K930" s="115"/>
      <c r="L930" s="115"/>
      <c r="M930" s="115"/>
      <c r="N930" s="115"/>
      <c r="O930" s="115"/>
    </row>
    <row r="931" ht="15.75" customHeight="1">
      <c r="I931" s="115"/>
      <c r="J931" s="115"/>
      <c r="K931" s="115"/>
      <c r="L931" s="115"/>
      <c r="M931" s="115"/>
      <c r="N931" s="115"/>
      <c r="O931" s="115"/>
    </row>
    <row r="932" ht="15.75" customHeight="1">
      <c r="I932" s="115"/>
      <c r="J932" s="115"/>
      <c r="K932" s="115"/>
      <c r="L932" s="115"/>
      <c r="M932" s="115"/>
      <c r="N932" s="115"/>
      <c r="O932" s="115"/>
    </row>
    <row r="933" ht="15.75" customHeight="1">
      <c r="I933" s="115"/>
      <c r="J933" s="115"/>
      <c r="K933" s="115"/>
      <c r="L933" s="115"/>
      <c r="M933" s="115"/>
      <c r="N933" s="115"/>
      <c r="O933" s="115"/>
    </row>
    <row r="934" ht="15.75" customHeight="1">
      <c r="I934" s="115"/>
      <c r="J934" s="115"/>
      <c r="K934" s="115"/>
      <c r="L934" s="115"/>
      <c r="M934" s="115"/>
      <c r="N934" s="115"/>
      <c r="O934" s="115"/>
    </row>
    <row r="935" ht="15.75" customHeight="1">
      <c r="I935" s="115"/>
      <c r="J935" s="115"/>
      <c r="K935" s="115"/>
      <c r="L935" s="115"/>
      <c r="M935" s="115"/>
      <c r="N935" s="115"/>
      <c r="O935" s="115"/>
    </row>
    <row r="936" ht="15.75" customHeight="1">
      <c r="I936" s="115"/>
      <c r="J936" s="115"/>
      <c r="K936" s="115"/>
      <c r="L936" s="115"/>
      <c r="M936" s="115"/>
      <c r="N936" s="115"/>
      <c r="O936" s="115"/>
    </row>
    <row r="937" ht="15.75" customHeight="1">
      <c r="I937" s="115"/>
      <c r="J937" s="115"/>
      <c r="K937" s="115"/>
      <c r="L937" s="115"/>
      <c r="M937" s="115"/>
      <c r="N937" s="115"/>
      <c r="O937" s="115"/>
    </row>
    <row r="938" ht="15.75" customHeight="1">
      <c r="I938" s="115"/>
      <c r="J938" s="115"/>
      <c r="K938" s="115"/>
      <c r="L938" s="115"/>
      <c r="M938" s="115"/>
      <c r="N938" s="115"/>
      <c r="O938" s="115"/>
    </row>
    <row r="939" ht="15.75" customHeight="1">
      <c r="I939" s="115"/>
      <c r="J939" s="115"/>
      <c r="K939" s="115"/>
      <c r="L939" s="115"/>
      <c r="M939" s="115"/>
      <c r="N939" s="115"/>
      <c r="O939" s="115"/>
    </row>
    <row r="940" ht="15.75" customHeight="1">
      <c r="I940" s="115"/>
      <c r="J940" s="115"/>
      <c r="K940" s="115"/>
      <c r="L940" s="115"/>
      <c r="M940" s="115"/>
      <c r="N940" s="115"/>
      <c r="O940" s="115"/>
    </row>
    <row r="941" ht="15.75" customHeight="1">
      <c r="I941" s="115"/>
      <c r="J941" s="115"/>
      <c r="K941" s="115"/>
      <c r="L941" s="115"/>
      <c r="M941" s="115"/>
      <c r="N941" s="115"/>
      <c r="O941" s="115"/>
    </row>
    <row r="942" ht="15.75" customHeight="1">
      <c r="I942" s="115"/>
      <c r="J942" s="115"/>
      <c r="K942" s="115"/>
      <c r="L942" s="115"/>
      <c r="M942" s="115"/>
      <c r="N942" s="115"/>
      <c r="O942" s="115"/>
    </row>
    <row r="943" ht="15.75" customHeight="1">
      <c r="I943" s="115"/>
      <c r="J943" s="115"/>
      <c r="K943" s="115"/>
      <c r="L943" s="115"/>
      <c r="M943" s="115"/>
      <c r="N943" s="115"/>
      <c r="O943" s="115"/>
    </row>
    <row r="944" ht="15.75" customHeight="1">
      <c r="I944" s="115"/>
      <c r="J944" s="115"/>
      <c r="K944" s="115"/>
      <c r="L944" s="115"/>
      <c r="M944" s="115"/>
      <c r="N944" s="115"/>
      <c r="O944" s="115"/>
    </row>
    <row r="945" ht="15.75" customHeight="1">
      <c r="I945" s="115"/>
      <c r="J945" s="115"/>
      <c r="K945" s="115"/>
      <c r="L945" s="115"/>
      <c r="M945" s="115"/>
      <c r="N945" s="115"/>
      <c r="O945" s="115"/>
    </row>
    <row r="946" ht="15.75" customHeight="1">
      <c r="I946" s="115"/>
      <c r="J946" s="115"/>
      <c r="K946" s="115"/>
      <c r="L946" s="115"/>
      <c r="M946" s="115"/>
      <c r="N946" s="115"/>
      <c r="O946" s="115"/>
    </row>
    <row r="947" ht="15.75" customHeight="1">
      <c r="I947" s="115"/>
      <c r="J947" s="115"/>
      <c r="K947" s="115"/>
      <c r="L947" s="115"/>
      <c r="M947" s="115"/>
      <c r="N947" s="115"/>
      <c r="O947" s="115"/>
    </row>
    <row r="948" ht="15.75" customHeight="1">
      <c r="I948" s="115"/>
      <c r="J948" s="115"/>
      <c r="K948" s="115"/>
      <c r="L948" s="115"/>
      <c r="M948" s="115"/>
      <c r="N948" s="115"/>
      <c r="O948" s="115"/>
    </row>
    <row r="949" ht="15.75" customHeight="1">
      <c r="I949" s="115"/>
      <c r="J949" s="115"/>
      <c r="K949" s="115"/>
      <c r="L949" s="115"/>
      <c r="M949" s="115"/>
      <c r="N949" s="115"/>
      <c r="O949" s="115"/>
    </row>
    <row r="950" ht="15.75" customHeight="1">
      <c r="I950" s="115"/>
      <c r="J950" s="115"/>
      <c r="K950" s="115"/>
      <c r="L950" s="115"/>
      <c r="M950" s="115"/>
      <c r="N950" s="115"/>
      <c r="O950" s="115"/>
    </row>
    <row r="951" ht="15.75" customHeight="1">
      <c r="I951" s="115"/>
      <c r="J951" s="115"/>
      <c r="K951" s="115"/>
      <c r="L951" s="115"/>
      <c r="M951" s="115"/>
      <c r="N951" s="115"/>
      <c r="O951" s="115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8.71"/>
    <col customWidth="1" min="11" max="11" width="12.0"/>
    <col customWidth="1" min="12" max="12" width="8.71"/>
    <col customWidth="1" min="13" max="13" width="11.14"/>
    <col customWidth="1" min="14" max="14" width="8.71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14.25" customHeight="1">
      <c r="A2" s="6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/>
    </row>
    <row r="3" ht="14.25" customHeight="1">
      <c r="A3" s="19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f>3+3+3+3+3+6+3+3+3+3+3+3+3+3+3+3+3+3+3+3+3+3+3+3+3+3+3+3+3+3+3+3+3+3+3+3+3+3+3+3+3+3+3+3+3+3+3+3+3+3+3+3+3</f>
        <v>162</v>
      </c>
      <c r="W3" s="10" t="s">
        <v>24</v>
      </c>
      <c r="X3" s="19"/>
      <c r="Y3" s="19"/>
      <c r="Z3" s="19"/>
    </row>
    <row r="4" ht="14.25" customHeight="1">
      <c r="A4" s="19"/>
      <c r="B4" s="1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0"/>
      <c r="X4" s="19"/>
      <c r="Y4" s="19"/>
      <c r="Z4" s="19"/>
    </row>
    <row r="5" ht="14.25" customHeight="1">
      <c r="A5" s="19"/>
      <c r="B5" s="1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1622</f>
        <v>1622</v>
      </c>
      <c r="W5" s="14" t="s">
        <v>51</v>
      </c>
      <c r="X5" s="19"/>
      <c r="Y5" s="19"/>
      <c r="Z5" s="19"/>
    </row>
    <row r="6" ht="14.25" customHeight="1">
      <c r="A6" s="19"/>
      <c r="B6" s="1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3760</f>
        <v>3760</v>
      </c>
      <c r="W6" s="14" t="s">
        <v>52</v>
      </c>
      <c r="X6" s="19"/>
      <c r="Y6" s="19"/>
      <c r="Z6" s="19"/>
    </row>
    <row r="7" ht="14.25" customHeight="1">
      <c r="A7" s="19"/>
      <c r="B7" s="1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390</f>
        <v>390</v>
      </c>
      <c r="W7" s="26" t="s">
        <v>44</v>
      </c>
      <c r="X7" s="19"/>
      <c r="Y7" s="19"/>
      <c r="Z7" s="19"/>
    </row>
    <row r="8" ht="14.25" customHeight="1">
      <c r="A8" s="19">
        <v>44958.0</v>
      </c>
      <c r="B8" s="10"/>
      <c r="C8" s="19"/>
      <c r="D8" s="19">
        <f>90.5+49.5</f>
        <v>140</v>
      </c>
      <c r="E8" s="19">
        <f>5000+192+60</f>
        <v>5252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843</f>
        <v>843</v>
      </c>
      <c r="W8" s="14" t="s">
        <v>53</v>
      </c>
      <c r="X8" s="19"/>
      <c r="Y8" s="19"/>
      <c r="Z8" s="19"/>
    </row>
    <row r="9" ht="14.25" customHeight="1">
      <c r="A9" s="19">
        <v>44959.0</v>
      </c>
      <c r="B9" s="10"/>
      <c r="C9" s="19"/>
      <c r="D9" s="19">
        <f>2999.5+2000+399.5</f>
        <v>5399</v>
      </c>
      <c r="E9" s="19">
        <f>100+100+400+100+100+120+11128.6</f>
        <v>12048.6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f>38900</f>
        <v>38900</v>
      </c>
      <c r="W9" s="14" t="s">
        <v>54</v>
      </c>
      <c r="X9" s="19"/>
      <c r="Y9" s="19"/>
      <c r="Z9" s="19"/>
    </row>
    <row r="10" ht="14.25" customHeight="1">
      <c r="A10" s="19">
        <v>44960.0</v>
      </c>
      <c r="B10" s="16" t="s">
        <v>26</v>
      </c>
      <c r="C10" s="27">
        <v>131352.22</v>
      </c>
      <c r="D10" s="19">
        <f>199.5+0.5+0.5+50</f>
        <v>250.5</v>
      </c>
      <c r="E10" s="19">
        <f>200+110+770+60+120</f>
        <v>1260</v>
      </c>
      <c r="F10" s="19"/>
      <c r="G10" s="19"/>
      <c r="H10" s="19"/>
      <c r="I10" s="19"/>
      <c r="J10" s="19"/>
      <c r="K10" s="19"/>
      <c r="L10" s="19"/>
      <c r="M10" s="19">
        <f>27875</f>
        <v>27875</v>
      </c>
      <c r="N10" s="19"/>
      <c r="O10" s="19">
        <f>35280+24460+11060</f>
        <v>70800</v>
      </c>
      <c r="P10" s="19"/>
      <c r="Q10" s="19"/>
      <c r="R10" s="19"/>
      <c r="S10" s="19"/>
      <c r="T10" s="19"/>
      <c r="U10" s="19"/>
      <c r="V10" s="19">
        <f>690</f>
        <v>690</v>
      </c>
      <c r="W10" s="14" t="s">
        <v>55</v>
      </c>
      <c r="X10" s="19"/>
      <c r="Y10" s="19"/>
      <c r="Z10" s="19"/>
    </row>
    <row r="11" ht="14.25" customHeight="1">
      <c r="A11" s="19">
        <v>44961.0</v>
      </c>
      <c r="B11" s="10"/>
      <c r="C11" s="19"/>
      <c r="D11" s="19">
        <f>999.5+0.5</f>
        <v>1000</v>
      </c>
      <c r="E11" s="19">
        <f>220+110</f>
        <v>330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900</f>
        <v>900</v>
      </c>
      <c r="W11" s="14" t="s">
        <v>45</v>
      </c>
      <c r="X11" s="19"/>
      <c r="Y11" s="19"/>
      <c r="Z11" s="19"/>
    </row>
    <row r="12" ht="14.25" customHeight="1">
      <c r="A12" s="19">
        <v>44962.0</v>
      </c>
      <c r="B12" s="10"/>
      <c r="C12" s="19"/>
      <c r="D12" s="19">
        <f>99.5+0.5+10.5+9.5</f>
        <v>120</v>
      </c>
      <c r="E12" s="19">
        <f>600+120+600+2240+800</f>
        <v>4360</v>
      </c>
      <c r="F12" s="19"/>
      <c r="G12" s="19"/>
      <c r="H12" s="19"/>
      <c r="I12" s="19"/>
      <c r="J12" s="19"/>
      <c r="K12" s="19"/>
      <c r="L12" s="19"/>
      <c r="M12" s="19"/>
      <c r="N12" s="19">
        <v>7236.0</v>
      </c>
      <c r="O12" s="19"/>
      <c r="P12" s="19"/>
      <c r="Q12" s="19"/>
      <c r="R12" s="19"/>
      <c r="S12" s="19"/>
      <c r="T12" s="19"/>
      <c r="U12" s="19"/>
      <c r="V12" s="19">
        <f>194</f>
        <v>194</v>
      </c>
      <c r="W12" s="14" t="s">
        <v>56</v>
      </c>
      <c r="X12" s="19"/>
      <c r="Y12" s="19"/>
      <c r="Z12" s="19"/>
    </row>
    <row r="13" ht="14.25" customHeight="1">
      <c r="A13" s="19">
        <v>44963.0</v>
      </c>
      <c r="B13" s="10" t="s">
        <v>57</v>
      </c>
      <c r="C13" s="27">
        <v>92500.0</v>
      </c>
      <c r="D13" s="19">
        <f>9.5+9.5+799.5+49.5+2500</f>
        <v>3368</v>
      </c>
      <c r="E13" s="19">
        <f>120+60+240+240+220+982</f>
        <v>1862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1853.93</f>
        <v>1853.93</v>
      </c>
      <c r="W13" s="26" t="s">
        <v>30</v>
      </c>
      <c r="X13" s="19"/>
      <c r="Y13" s="19"/>
      <c r="Z13" s="19"/>
    </row>
    <row r="14" ht="14.25" customHeight="1">
      <c r="A14" s="19">
        <v>44964.0</v>
      </c>
      <c r="B14" s="10" t="s">
        <v>58</v>
      </c>
      <c r="C14" s="19">
        <v>15820.0</v>
      </c>
      <c r="D14" s="19">
        <f>999.5+10000</f>
        <v>10999.5</v>
      </c>
      <c r="E14" s="19"/>
      <c r="F14" s="19"/>
      <c r="G14" s="19"/>
      <c r="H14" s="19"/>
      <c r="I14" s="19"/>
      <c r="J14" s="19"/>
      <c r="K14" s="19"/>
      <c r="L14" s="19"/>
      <c r="M14" s="19">
        <f>200+6552</f>
        <v>6752</v>
      </c>
      <c r="N14" s="19"/>
      <c r="O14" s="19">
        <f>91820</f>
        <v>91820</v>
      </c>
      <c r="P14" s="19"/>
      <c r="Q14" s="19"/>
      <c r="R14" s="19"/>
      <c r="S14" s="19"/>
      <c r="T14" s="19"/>
      <c r="U14" s="19"/>
      <c r="V14" s="19">
        <f>1512</f>
        <v>1512</v>
      </c>
      <c r="W14" s="14" t="s">
        <v>59</v>
      </c>
      <c r="X14" s="19"/>
      <c r="Y14" s="19"/>
      <c r="Z14" s="19"/>
    </row>
    <row r="15" ht="14.25" customHeight="1">
      <c r="A15" s="19">
        <v>44964.0</v>
      </c>
      <c r="B15" s="16" t="s">
        <v>26</v>
      </c>
      <c r="C15" s="27">
        <v>82026.78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4"/>
      <c r="X15" s="19"/>
      <c r="Y15" s="19"/>
      <c r="Z15" s="19"/>
    </row>
    <row r="16" ht="14.25" customHeight="1">
      <c r="A16" s="19">
        <v>44965.0</v>
      </c>
      <c r="B16" s="10" t="s">
        <v>60</v>
      </c>
      <c r="C16" s="19">
        <v>160000.0</v>
      </c>
      <c r="D16" s="19">
        <f>10.5+5899.5+10000</f>
        <v>15910</v>
      </c>
      <c r="E16" s="19">
        <f>240+240+1.2+15+36+80+60</f>
        <v>672.2</v>
      </c>
      <c r="F16" s="19"/>
      <c r="G16" s="19"/>
      <c r="H16" s="19"/>
      <c r="I16" s="19"/>
      <c r="J16" s="19"/>
      <c r="K16" s="19"/>
      <c r="L16" s="19"/>
      <c r="M16" s="19">
        <v>200.0</v>
      </c>
      <c r="N16" s="19"/>
      <c r="O16" s="19"/>
      <c r="P16" s="19"/>
      <c r="Q16" s="19"/>
      <c r="R16" s="19"/>
      <c r="S16" s="19"/>
      <c r="T16" s="19"/>
      <c r="U16" s="19"/>
      <c r="V16" s="19">
        <f>10086.89+10022.25+10022.25+20004.25+10022.25+6001.27+7506.62</f>
        <v>73665.78</v>
      </c>
      <c r="W16" s="14" t="s">
        <v>61</v>
      </c>
      <c r="X16" s="19"/>
      <c r="Y16" s="19"/>
      <c r="Z16" s="19"/>
    </row>
    <row r="17" ht="14.25" customHeight="1">
      <c r="A17" s="19">
        <v>44965.0</v>
      </c>
      <c r="B17" s="10" t="s">
        <v>62</v>
      </c>
      <c r="C17" s="27">
        <v>18500.0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>
        <f>2711.21+184.86+2218.26+12537.9+1044.83+1678.5+139.88+15324.1+2051.5</f>
        <v>37891.04</v>
      </c>
      <c r="W17" s="14" t="s">
        <v>34</v>
      </c>
      <c r="X17" s="19"/>
      <c r="Y17" s="19"/>
      <c r="Z17" s="19"/>
    </row>
    <row r="18" ht="14.25" customHeight="1">
      <c r="A18" s="19">
        <v>44966.0</v>
      </c>
      <c r="B18" s="10" t="s">
        <v>63</v>
      </c>
      <c r="C18" s="19">
        <v>342425.0</v>
      </c>
      <c r="D18" s="19">
        <f>99.5+1000</f>
        <v>1099.5</v>
      </c>
      <c r="E18" s="19">
        <f>120+550+240+60+120+1.2+2.4+1+1+1+100+200+200+200+200+200+12+240+36+1082</f>
        <v>3566.6</v>
      </c>
      <c r="F18" s="19"/>
      <c r="G18" s="19"/>
      <c r="H18" s="19"/>
      <c r="I18" s="19"/>
      <c r="J18" s="19"/>
      <c r="K18" s="19"/>
      <c r="L18" s="19"/>
      <c r="M18" s="19">
        <f>145000+18920</f>
        <v>163920</v>
      </c>
      <c r="N18" s="19"/>
      <c r="O18" s="19">
        <f>34200+4400+22437</f>
        <v>61037</v>
      </c>
      <c r="P18" s="19"/>
      <c r="Q18" s="19"/>
      <c r="R18" s="19"/>
      <c r="S18" s="19"/>
      <c r="T18" s="19"/>
      <c r="U18" s="19"/>
      <c r="V18" s="19">
        <f>89.94+1480</f>
        <v>1569.94</v>
      </c>
      <c r="W18" s="26" t="s">
        <v>29</v>
      </c>
      <c r="X18" s="19"/>
      <c r="Y18" s="19"/>
      <c r="Z18" s="19"/>
    </row>
    <row r="19" ht="14.25" customHeight="1">
      <c r="A19" s="19">
        <v>44967.0</v>
      </c>
      <c r="B19" s="10"/>
      <c r="C19" s="19"/>
      <c r="D19" s="19">
        <f>1.5</f>
        <v>1.5</v>
      </c>
      <c r="E19" s="19">
        <f>120+2400+2200+1.2+1.2+1.2+110+36+1000</f>
        <v>5869.6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f>5900</f>
        <v>5900</v>
      </c>
      <c r="W19" s="26" t="s">
        <v>45</v>
      </c>
      <c r="X19" s="19"/>
      <c r="Y19" s="19"/>
      <c r="Z19" s="19"/>
    </row>
    <row r="20" ht="14.25" customHeight="1">
      <c r="A20" s="19">
        <v>44968.0</v>
      </c>
      <c r="B20" s="10"/>
      <c r="C20" s="19"/>
      <c r="D20" s="19">
        <f>9.5+299.5+500</f>
        <v>809</v>
      </c>
      <c r="E20" s="19">
        <f>100+1200+240+240</f>
        <v>1780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1604.28</f>
        <v>1604.28</v>
      </c>
      <c r="W20" s="14" t="s">
        <v>64</v>
      </c>
      <c r="X20" s="19"/>
      <c r="Y20" s="19"/>
      <c r="Z20" s="19"/>
    </row>
    <row r="21" ht="14.25" customHeight="1">
      <c r="A21" s="19">
        <v>44969.0</v>
      </c>
      <c r="B21" s="10"/>
      <c r="C21" s="19"/>
      <c r="D21" s="19">
        <f>0.5</f>
        <v>0.5</v>
      </c>
      <c r="E21" s="19">
        <f>60+100+360</f>
        <v>520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>
        <f>9100</f>
        <v>9100</v>
      </c>
      <c r="W21" s="14" t="s">
        <v>65</v>
      </c>
      <c r="X21" s="19"/>
      <c r="Y21" s="19"/>
      <c r="Z21" s="19"/>
    </row>
    <row r="22" ht="14.25" customHeight="1">
      <c r="A22" s="19">
        <v>44970.0</v>
      </c>
      <c r="B22" s="10"/>
      <c r="C22" s="19"/>
      <c r="D22" s="19">
        <f>149.5+5000+200</f>
        <v>5349.5</v>
      </c>
      <c r="E22" s="19">
        <f>150+504+200+220+200+1458.92</f>
        <v>2732.92</v>
      </c>
      <c r="F22" s="19"/>
      <c r="G22" s="19"/>
      <c r="H22" s="19"/>
      <c r="I22" s="19"/>
      <c r="J22" s="19"/>
      <c r="K22" s="19"/>
      <c r="L22" s="19"/>
      <c r="M22" s="19">
        <f>100328+99360+14600.26</f>
        <v>214288.26</v>
      </c>
      <c r="N22" s="19"/>
      <c r="O22" s="19">
        <f>59000+17000</f>
        <v>76000</v>
      </c>
      <c r="P22" s="19"/>
      <c r="Q22" s="19"/>
      <c r="R22" s="19"/>
      <c r="S22" s="19"/>
      <c r="T22" s="19"/>
      <c r="U22" s="19"/>
      <c r="V22" s="19">
        <f>25539</f>
        <v>25539</v>
      </c>
      <c r="W22" s="14" t="s">
        <v>66</v>
      </c>
      <c r="X22" s="19"/>
      <c r="Y22" s="19"/>
      <c r="Z22" s="19"/>
    </row>
    <row r="23" ht="14.25" customHeight="1">
      <c r="A23" s="19">
        <v>44971.0</v>
      </c>
      <c r="B23" s="10" t="s">
        <v>67</v>
      </c>
      <c r="C23" s="19">
        <v>460500.0</v>
      </c>
      <c r="D23" s="19">
        <f>0.5+49.5+2450</f>
        <v>2500</v>
      </c>
      <c r="E23" s="19">
        <f>120+120+120+220+16785.6</f>
        <v>17365.6</v>
      </c>
      <c r="F23" s="19"/>
      <c r="G23" s="19"/>
      <c r="H23" s="19"/>
      <c r="I23" s="19"/>
      <c r="J23" s="19"/>
      <c r="K23" s="19"/>
      <c r="L23" s="19"/>
      <c r="M23" s="19">
        <v>100.0</v>
      </c>
      <c r="N23" s="19"/>
      <c r="O23" s="19"/>
      <c r="P23" s="19"/>
      <c r="Q23" s="19"/>
      <c r="R23" s="19"/>
      <c r="S23" s="19"/>
      <c r="T23" s="19"/>
      <c r="U23" s="19"/>
      <c r="V23" s="19">
        <f>2330</f>
        <v>2330</v>
      </c>
      <c r="W23" s="14" t="s">
        <v>68</v>
      </c>
      <c r="X23" s="19"/>
      <c r="Y23" s="19"/>
      <c r="Z23" s="19"/>
    </row>
    <row r="24" ht="14.25" customHeight="1">
      <c r="A24" s="19">
        <v>44972.0</v>
      </c>
      <c r="B24" s="10"/>
      <c r="C24" s="19"/>
      <c r="D24" s="19">
        <f>0.5+199.5+119700+4000+199.5+10000+300</f>
        <v>134399.5</v>
      </c>
      <c r="E24" s="19">
        <f>40+120+200+240+450+400+100+120+60+18288</f>
        <v>20018</v>
      </c>
      <c r="F24" s="19"/>
      <c r="G24" s="19"/>
      <c r="H24" s="19"/>
      <c r="I24" s="19"/>
      <c r="J24" s="19"/>
      <c r="K24" s="19"/>
      <c r="L24" s="19"/>
      <c r="M24" s="19">
        <f>2330+15820</f>
        <v>18150</v>
      </c>
      <c r="N24" s="19"/>
      <c r="O24" s="19">
        <f>342425</f>
        <v>342425</v>
      </c>
      <c r="P24" s="19"/>
      <c r="Q24" s="19"/>
      <c r="R24" s="19"/>
      <c r="S24" s="19"/>
      <c r="T24" s="19"/>
      <c r="U24" s="19"/>
      <c r="V24" s="19">
        <f>12500+41900</f>
        <v>54400</v>
      </c>
      <c r="W24" s="26" t="s">
        <v>27</v>
      </c>
      <c r="X24" s="19"/>
      <c r="Y24" s="19"/>
      <c r="Z24" s="19"/>
    </row>
    <row r="25" ht="14.25" customHeight="1">
      <c r="A25" s="19">
        <v>44973.0</v>
      </c>
      <c r="B25" s="10"/>
      <c r="C25" s="19"/>
      <c r="D25" s="19">
        <f>9.5+300</f>
        <v>309.5</v>
      </c>
      <c r="E25" s="19">
        <f>12+600+600+132+6+6+6+318+360+139.2+168+120+120+4.8+600+6+6+4.8+6+6+6+6+6+6+6+6+6+7.2+7.2+6+6+200+196.4</f>
        <v>3685.6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f>500</f>
        <v>500</v>
      </c>
      <c r="W25" s="14" t="s">
        <v>69</v>
      </c>
      <c r="X25" s="19"/>
      <c r="Y25" s="19"/>
      <c r="Z25" s="19"/>
    </row>
    <row r="26" ht="14.25" customHeight="1">
      <c r="A26" s="19">
        <v>44974.0</v>
      </c>
      <c r="B26" s="10" t="s">
        <v>70</v>
      </c>
      <c r="C26" s="27">
        <v>7400000.0</v>
      </c>
      <c r="D26" s="19"/>
      <c r="E26" s="19">
        <f>6+6+12+6+6+6+110+60+2.4+2.4+6+6+6+6+100+1000+60+6+6+6+6+6+6+6+6+6+6+6+6+6+6+6+6+480+60+564+360+456+696+120+2500+444</f>
        <v>7176.8</v>
      </c>
      <c r="F26" s="19"/>
      <c r="G26" s="19"/>
      <c r="H26" s="19"/>
      <c r="I26" s="19"/>
      <c r="J26" s="19"/>
      <c r="K26" s="19"/>
      <c r="L26" s="19"/>
      <c r="M26" s="19">
        <f>11287.96+41019.6+42114.9+30600+154500+89819</f>
        <v>369341.46</v>
      </c>
      <c r="N26" s="19"/>
      <c r="O26" s="19"/>
      <c r="P26" s="19"/>
      <c r="Q26" s="19"/>
      <c r="R26" s="19"/>
      <c r="S26" s="19"/>
      <c r="T26" s="19"/>
      <c r="U26" s="19"/>
      <c r="V26" s="19">
        <f>15400</f>
        <v>15400</v>
      </c>
      <c r="W26" s="14" t="s">
        <v>71</v>
      </c>
      <c r="X26" s="19"/>
      <c r="Y26" s="19"/>
      <c r="Z26" s="19"/>
    </row>
    <row r="27" ht="14.25" customHeight="1">
      <c r="A27" s="19">
        <v>44975.0</v>
      </c>
      <c r="B27" s="19"/>
      <c r="C27" s="19"/>
      <c r="D27" s="19">
        <f>0.5+0.5+0.5+100</f>
        <v>101.5</v>
      </c>
      <c r="E27" s="19">
        <f>60+60+1200+60+60+60+0+0+220+220+6+6+6+6</f>
        <v>1964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f>2400</f>
        <v>2400</v>
      </c>
      <c r="W27" s="21" t="s">
        <v>72</v>
      </c>
      <c r="X27" s="19"/>
      <c r="Y27" s="19"/>
      <c r="Z27" s="19"/>
    </row>
    <row r="28" ht="14.25" customHeight="1">
      <c r="A28" s="19">
        <v>44976.0</v>
      </c>
      <c r="B28" s="19"/>
      <c r="C28" s="19"/>
      <c r="D28" s="19">
        <f>9.5</f>
        <v>9.5</v>
      </c>
      <c r="E28" s="19">
        <f>6+100+100+6+5+60+50+6</f>
        <v>333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f>20927</f>
        <v>20927</v>
      </c>
      <c r="W28" s="21" t="s">
        <v>73</v>
      </c>
      <c r="X28" s="19"/>
      <c r="Y28" s="19"/>
      <c r="Z28" s="19"/>
    </row>
    <row r="29" ht="14.25" customHeight="1">
      <c r="A29" s="19">
        <v>44977.0</v>
      </c>
      <c r="B29" s="19"/>
      <c r="C29" s="19"/>
      <c r="D29" s="19">
        <f>4.5+25000</f>
        <v>25004.5</v>
      </c>
      <c r="E29" s="19">
        <f>6+6+600+240+6+6+6+6+6+6+6+6+6+6+6+6+6+6+6+6+6+6+296.4</f>
        <v>1256.4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5760</f>
        <v>5760</v>
      </c>
      <c r="W29" s="21" t="s">
        <v>74</v>
      </c>
      <c r="X29" s="19"/>
      <c r="Y29" s="19"/>
      <c r="Z29" s="19"/>
    </row>
    <row r="30" ht="14.25" customHeight="1">
      <c r="A30" s="19">
        <v>44978.0</v>
      </c>
      <c r="B30" s="19"/>
      <c r="C30" s="19"/>
      <c r="D30" s="19">
        <f>0.5</f>
        <v>0.5</v>
      </c>
      <c r="E30" s="19">
        <f>10+6+5+6+1200+12+60+12+12+12+6+12+12+6+12+6+58.92</f>
        <v>1447.92</v>
      </c>
      <c r="F30" s="19"/>
      <c r="G30" s="19"/>
      <c r="H30" s="19"/>
      <c r="I30" s="19"/>
      <c r="J30" s="19"/>
      <c r="K30" s="19"/>
      <c r="L30" s="19"/>
      <c r="M30" s="19">
        <f>36580+10299.96</f>
        <v>46879.96</v>
      </c>
      <c r="N30" s="19"/>
      <c r="O30" s="19"/>
      <c r="P30" s="19"/>
      <c r="Q30" s="19"/>
      <c r="R30" s="19"/>
      <c r="S30" s="19"/>
      <c r="T30" s="19"/>
      <c r="U30" s="19"/>
      <c r="V30" s="19">
        <f>399</f>
        <v>399</v>
      </c>
      <c r="W30" s="21" t="s">
        <v>75</v>
      </c>
      <c r="X30" s="19"/>
      <c r="Y30" s="19"/>
      <c r="Z30" s="19"/>
    </row>
    <row r="31" ht="14.25" customHeight="1">
      <c r="A31" s="19">
        <v>44979.0</v>
      </c>
      <c r="B31" s="19"/>
      <c r="C31" s="19"/>
      <c r="D31" s="19">
        <f>0.5+0.5</f>
        <v>1</v>
      </c>
      <c r="E31" s="19">
        <f>120+60+5+1200</f>
        <v>1385</v>
      </c>
      <c r="F31" s="19"/>
      <c r="G31" s="19"/>
      <c r="H31" s="19"/>
      <c r="I31" s="19"/>
      <c r="J31" s="19"/>
      <c r="K31" s="19"/>
      <c r="L31" s="19"/>
      <c r="M31" s="19"/>
      <c r="N31" s="19"/>
      <c r="O31" s="19">
        <f>9400</f>
        <v>9400</v>
      </c>
      <c r="P31" s="19"/>
      <c r="Q31" s="19"/>
      <c r="R31" s="19"/>
      <c r="S31" s="19"/>
      <c r="T31" s="19"/>
      <c r="U31" s="19"/>
      <c r="V31" s="19"/>
      <c r="X31" s="19"/>
      <c r="Y31" s="19"/>
      <c r="Z31" s="19"/>
    </row>
    <row r="32" ht="14.25" customHeight="1">
      <c r="A32" s="19">
        <v>44980.0</v>
      </c>
      <c r="B32" s="19" t="s">
        <v>76</v>
      </c>
      <c r="C32" s="19">
        <v>25000.0</v>
      </c>
      <c r="D32" s="19">
        <f>720+9.5+1700</f>
        <v>2429.5</v>
      </c>
      <c r="E32" s="19">
        <f>100+36</f>
        <v>136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X32" s="19"/>
      <c r="Y32" s="19"/>
      <c r="Z32" s="19"/>
    </row>
    <row r="33" ht="14.25" customHeight="1">
      <c r="A33" s="19">
        <v>44981.0</v>
      </c>
      <c r="B33" s="19"/>
      <c r="C33" s="19"/>
      <c r="D33" s="19">
        <f>199.5+0.5+0.5+99.5</f>
        <v>300</v>
      </c>
      <c r="E33" s="19">
        <f>37.45+100+1000</f>
        <v>1137.45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X33" s="19"/>
      <c r="Y33" s="19"/>
      <c r="Z33" s="19"/>
    </row>
    <row r="34" ht="14.25" customHeight="1">
      <c r="A34" s="19">
        <v>44982.0</v>
      </c>
      <c r="B34" s="19"/>
      <c r="C34" s="19"/>
      <c r="D34" s="19">
        <f>99.5+99.5+0.5+0.5+0.5+99.5+1000</f>
        <v>1300</v>
      </c>
      <c r="E34" s="19">
        <f>803.21+440+1100+550+1000+1000+50+60</f>
        <v>5003.21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4.25" customHeight="1">
      <c r="A35" s="19">
        <v>44983.0</v>
      </c>
      <c r="B35" s="19"/>
      <c r="C35" s="19"/>
      <c r="D35" s="19">
        <f>199.5+200</f>
        <v>399.5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4.25" customHeight="1">
      <c r="A36" s="19">
        <v>44984.0</v>
      </c>
      <c r="B36" s="19"/>
      <c r="C36" s="19"/>
      <c r="D36" s="19">
        <f>0.5+499.5+9.5</f>
        <v>509.5</v>
      </c>
      <c r="E36" s="19">
        <f>307+700</f>
        <v>1007</v>
      </c>
      <c r="F36" s="19"/>
      <c r="G36" s="19"/>
      <c r="H36" s="19"/>
      <c r="I36" s="19"/>
      <c r="J36" s="19"/>
      <c r="K36" s="19"/>
      <c r="L36" s="19">
        <f>13592</f>
        <v>13592</v>
      </c>
      <c r="M36" s="19"/>
      <c r="N36" s="19">
        <f>17891.74</f>
        <v>17891.74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4.25" customHeight="1">
      <c r="A37" s="19">
        <v>44985.0</v>
      </c>
      <c r="B37" s="19"/>
      <c r="C37" s="19"/>
      <c r="D37" s="19">
        <f>6</f>
        <v>6</v>
      </c>
      <c r="E37" s="19">
        <f>1700+6482.2+1000</f>
        <v>9182.2</v>
      </c>
      <c r="F37" s="19"/>
      <c r="G37" s="19">
        <v>18.41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4.25" customHeight="1"/>
    <row r="39" ht="14.25" customHeight="1">
      <c r="A39" s="23" t="s">
        <v>50</v>
      </c>
      <c r="B39" s="24"/>
      <c r="C39" s="24">
        <f t="shared" ref="C39:V39" si="1">SUM(C3:C38)</f>
        <v>8728124</v>
      </c>
      <c r="D39" s="24">
        <f t="shared" si="1"/>
        <v>211717.5</v>
      </c>
      <c r="E39" s="24">
        <f t="shared" si="1"/>
        <v>111352.1</v>
      </c>
      <c r="F39" s="24">
        <f t="shared" si="1"/>
        <v>0</v>
      </c>
      <c r="G39" s="24">
        <f t="shared" si="1"/>
        <v>18.41</v>
      </c>
      <c r="H39" s="24">
        <f t="shared" si="1"/>
        <v>0</v>
      </c>
      <c r="I39" s="24">
        <f t="shared" si="1"/>
        <v>0</v>
      </c>
      <c r="J39" s="24">
        <f t="shared" si="1"/>
        <v>0</v>
      </c>
      <c r="K39" s="24">
        <f t="shared" si="1"/>
        <v>0</v>
      </c>
      <c r="L39" s="24">
        <f t="shared" si="1"/>
        <v>13592</v>
      </c>
      <c r="M39" s="24">
        <f t="shared" si="1"/>
        <v>847506.68</v>
      </c>
      <c r="N39" s="24">
        <f t="shared" si="1"/>
        <v>25127.74</v>
      </c>
      <c r="O39" s="24">
        <f t="shared" si="1"/>
        <v>651482</v>
      </c>
      <c r="P39" s="24">
        <f t="shared" si="1"/>
        <v>0</v>
      </c>
      <c r="Q39" s="24">
        <f t="shared" si="1"/>
        <v>0</v>
      </c>
      <c r="R39" s="24">
        <f t="shared" si="1"/>
        <v>0</v>
      </c>
      <c r="S39" s="24">
        <f t="shared" si="1"/>
        <v>0</v>
      </c>
      <c r="T39" s="24">
        <f t="shared" si="1"/>
        <v>0</v>
      </c>
      <c r="U39" s="24">
        <f t="shared" si="1"/>
        <v>0</v>
      </c>
      <c r="V39" s="24">
        <f t="shared" si="1"/>
        <v>308212.97</v>
      </c>
      <c r="W39" s="25"/>
      <c r="X39" s="25"/>
      <c r="Y39" s="25"/>
      <c r="Z39" s="25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6.14"/>
    <col customWidth="1" min="12" max="12" width="12.0"/>
    <col customWidth="1" min="13" max="13" width="9.14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14.25" customHeight="1">
      <c r="A2" s="6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77</v>
      </c>
      <c r="R2" s="2" t="s">
        <v>78</v>
      </c>
      <c r="S2" s="2" t="s">
        <v>21</v>
      </c>
      <c r="T2" s="2" t="s">
        <v>22</v>
      </c>
      <c r="U2" s="2" t="s">
        <v>23</v>
      </c>
      <c r="V2" s="2"/>
    </row>
    <row r="3" ht="14.25" customHeight="1">
      <c r="A3" s="19">
        <v>44986.0</v>
      </c>
      <c r="B3" s="10"/>
      <c r="C3" s="19"/>
      <c r="D3" s="19">
        <f>85000+49.5+800+6500+20+82.8+10000</f>
        <v>102452.3</v>
      </c>
      <c r="E3" s="19">
        <f>500+609+5000</f>
        <v>6109</v>
      </c>
      <c r="F3" s="19"/>
      <c r="G3" s="19"/>
      <c r="H3" s="19"/>
      <c r="I3" s="19"/>
      <c r="J3" s="19"/>
      <c r="K3" s="19"/>
      <c r="L3" s="19"/>
      <c r="M3" s="19">
        <v>13707.0</v>
      </c>
      <c r="N3" s="19"/>
      <c r="O3" s="19"/>
      <c r="P3" s="19"/>
      <c r="Q3" s="19"/>
      <c r="R3" s="19"/>
      <c r="S3" s="19"/>
      <c r="T3" s="19"/>
      <c r="U3" s="19"/>
      <c r="V3" s="19">
        <f>3+3+3+3+3+3+3+3+3+3+3+3+3+3+3+3+3+3+3+3+3+3+3+3+3+3+3+3+3+3+3+3+3+3+3+3+3+3+3+3+3+3+3+3+3+3+3+3+3+3+3+3+3+3+3+3+3+3+3+3+3+3+3+3+3+3</f>
        <v>198</v>
      </c>
      <c r="W3" s="10" t="s">
        <v>24</v>
      </c>
      <c r="X3" s="19"/>
      <c r="Y3" s="19"/>
      <c r="Z3" s="19"/>
    </row>
    <row r="4" ht="14.25" customHeight="1">
      <c r="A4" s="19">
        <v>44987.0</v>
      </c>
      <c r="B4" s="10"/>
      <c r="C4" s="19"/>
      <c r="D4" s="19">
        <f>788+20+20+20+100+300+500+500+500+500+500+500+500</f>
        <v>4748</v>
      </c>
      <c r="E4" s="19">
        <f>550+1200</f>
        <v>1750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933+13684+1678.5+2051.5+139.88+2707.62+2215.5+185.54+11196+11196+933+13684+1678.5+2051.5+139.88+11196+13684+2051.5+1678.5+139.88+933</f>
        <v>94157.3</v>
      </c>
      <c r="W4" s="14" t="s">
        <v>34</v>
      </c>
      <c r="X4" s="19"/>
      <c r="Y4" s="19"/>
      <c r="Z4" s="19"/>
    </row>
    <row r="5" ht="14.25" customHeight="1">
      <c r="A5" s="19">
        <v>44988.0</v>
      </c>
      <c r="B5" s="10" t="s">
        <v>79</v>
      </c>
      <c r="C5" s="19">
        <v>982.0</v>
      </c>
      <c r="D5" s="19">
        <f>0.5+0.5+199.5+495+1000+6+20+125+200+200+200+200+300</f>
        <v>2946.5</v>
      </c>
      <c r="E5" s="19">
        <f>1000+880+500</f>
        <v>2380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875+625</f>
        <v>1500</v>
      </c>
      <c r="W5" s="14" t="s">
        <v>80</v>
      </c>
      <c r="X5" s="19"/>
      <c r="Y5" s="19"/>
      <c r="Z5" s="19"/>
    </row>
    <row r="6" ht="14.25" customHeight="1">
      <c r="A6" s="7">
        <v>44989.0</v>
      </c>
      <c r="B6" s="10"/>
      <c r="C6" s="19"/>
      <c r="D6" s="19">
        <f>0.5</f>
        <v>0.5</v>
      </c>
      <c r="E6" s="19">
        <f>8</f>
        <v>8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600+600</f>
        <v>1200</v>
      </c>
      <c r="W6" s="26" t="s">
        <v>47</v>
      </c>
      <c r="X6" s="19"/>
      <c r="Y6" s="19"/>
      <c r="Z6" s="19"/>
    </row>
    <row r="7" ht="14.25" customHeight="1">
      <c r="A7" s="7">
        <v>44990.0</v>
      </c>
      <c r="B7" s="10"/>
      <c r="C7" s="19"/>
      <c r="D7" s="19">
        <f>0.5+1000+1000+5000</f>
        <v>7000.5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1754.5</f>
        <v>1754.5</v>
      </c>
      <c r="W7" s="14" t="s">
        <v>81</v>
      </c>
      <c r="X7" s="19"/>
      <c r="Y7" s="19"/>
      <c r="Z7" s="19"/>
    </row>
    <row r="8" ht="14.25" customHeight="1">
      <c r="A8" s="19">
        <v>44991.0</v>
      </c>
      <c r="B8" s="10" t="s">
        <v>79</v>
      </c>
      <c r="C8" s="19">
        <v>9820.0</v>
      </c>
      <c r="D8" s="19">
        <f>9.5+20+300</f>
        <v>329.5</v>
      </c>
      <c r="E8" s="19">
        <f>400</f>
        <v>400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33300+12500+12500+12500</f>
        <v>70800</v>
      </c>
      <c r="W8" s="26" t="s">
        <v>27</v>
      </c>
      <c r="X8" s="19"/>
      <c r="Y8" s="19"/>
      <c r="Z8" s="19"/>
    </row>
    <row r="9" ht="14.25" customHeight="1">
      <c r="A9" s="19">
        <v>44992.0</v>
      </c>
      <c r="B9" s="16" t="s">
        <v>26</v>
      </c>
      <c r="C9" s="27">
        <v>24074.57</v>
      </c>
      <c r="D9" s="19">
        <f>9.5+9.5+0.2+0.7+20+50+1000</f>
        <v>1089.9</v>
      </c>
      <c r="E9" s="19">
        <f>3000+110+4400+75</f>
        <v>7585</v>
      </c>
      <c r="F9" s="19"/>
      <c r="G9" s="19"/>
      <c r="H9" s="19"/>
      <c r="I9" s="19"/>
      <c r="J9" s="19"/>
      <c r="K9" s="19"/>
      <c r="L9" s="19"/>
      <c r="M9" s="19">
        <f>24425+17710+54056</f>
        <v>96191</v>
      </c>
      <c r="N9" s="19"/>
      <c r="O9" s="19"/>
      <c r="P9" s="19"/>
      <c r="Q9" s="19"/>
      <c r="R9" s="19"/>
      <c r="S9" s="19"/>
      <c r="T9" s="19"/>
      <c r="U9" s="19"/>
      <c r="V9" s="19">
        <f>90+1480</f>
        <v>1570</v>
      </c>
      <c r="W9" s="26" t="s">
        <v>29</v>
      </c>
      <c r="X9" s="19"/>
      <c r="Y9" s="19"/>
      <c r="Z9" s="19"/>
    </row>
    <row r="10" ht="14.25" customHeight="1">
      <c r="A10" s="19">
        <v>44993.0</v>
      </c>
      <c r="B10" s="16" t="s">
        <v>82</v>
      </c>
      <c r="C10" s="7">
        <v>128529.72</v>
      </c>
      <c r="D10" s="19">
        <f>9.5+10.5+0.65</f>
        <v>20.65</v>
      </c>
      <c r="E10" s="19">
        <f>2535+100</f>
        <v>2635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>
        <f>17500+12500+12500</f>
        <v>42500</v>
      </c>
      <c r="W10" s="14" t="s">
        <v>73</v>
      </c>
      <c r="X10" s="19"/>
      <c r="Y10" s="19"/>
      <c r="Z10" s="19"/>
    </row>
    <row r="11" ht="14.25" customHeight="1">
      <c r="A11" s="19">
        <v>44993.0</v>
      </c>
      <c r="B11" s="28" t="s">
        <v>83</v>
      </c>
      <c r="C11" s="19">
        <v>360.0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38900+38250</f>
        <v>77150</v>
      </c>
      <c r="W11" s="26" t="s">
        <v>54</v>
      </c>
      <c r="X11" s="19"/>
      <c r="Y11" s="19"/>
      <c r="Z11" s="19"/>
    </row>
    <row r="12" ht="14.25" customHeight="1">
      <c r="A12" s="19">
        <v>44994.0</v>
      </c>
      <c r="C12" s="19"/>
      <c r="D12" s="19">
        <f>99.5+9.5+92000+1000</f>
        <v>93109</v>
      </c>
      <c r="E12" s="19">
        <f>20+7.7</f>
        <v>27.7</v>
      </c>
      <c r="F12" s="19"/>
      <c r="G12" s="19"/>
      <c r="H12" s="19"/>
      <c r="I12" s="19"/>
      <c r="J12" s="19"/>
      <c r="K12" s="19"/>
      <c r="L12" s="19"/>
      <c r="M12" s="19">
        <f>13965</f>
        <v>13965</v>
      </c>
      <c r="N12" s="19">
        <f>7915.19+4500+4560+2757.2+4972.6+2915.82+2016+4015.8+3120+13698+3960+3336+2790+29063.92+4848.85+3960+4972.6</f>
        <v>103401.98</v>
      </c>
      <c r="O12" s="19"/>
      <c r="P12" s="19"/>
      <c r="Q12" s="19"/>
      <c r="R12" s="19"/>
      <c r="S12" s="19"/>
      <c r="T12" s="19"/>
      <c r="U12" s="19"/>
      <c r="V12" s="19">
        <f>35900+28450</f>
        <v>64350</v>
      </c>
      <c r="W12" s="26" t="s">
        <v>71</v>
      </c>
      <c r="X12" s="19"/>
      <c r="Y12" s="19"/>
      <c r="Z12" s="19"/>
    </row>
    <row r="13" ht="14.25" customHeight="1">
      <c r="A13" s="19">
        <v>44995.0</v>
      </c>
      <c r="B13" s="9" t="s">
        <v>79</v>
      </c>
      <c r="C13" s="7">
        <v>785.6</v>
      </c>
      <c r="D13" s="19">
        <f>9.5+1.5+12550+50+1000+1000+5000</f>
        <v>19611</v>
      </c>
      <c r="E13" s="19">
        <f>120+1325.3</f>
        <v>1445.3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10022.25+10022.25+20004.25+7506.62+10022.25</f>
        <v>57577.62</v>
      </c>
      <c r="W13" s="14" t="s">
        <v>31</v>
      </c>
      <c r="X13" s="19"/>
      <c r="Y13" s="19"/>
      <c r="Z13" s="19"/>
    </row>
    <row r="14" ht="14.25" customHeight="1">
      <c r="A14" s="19">
        <v>44996.0</v>
      </c>
      <c r="B14" s="10"/>
      <c r="C14" s="19"/>
      <c r="D14" s="19">
        <f>9.5</f>
        <v>9.5</v>
      </c>
      <c r="E14" s="19">
        <f>1100</f>
        <v>1100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>
        <f>10022.25+20004.25+10022.25+7506.62+10022.25+9903.76+10022.25+7506.62+10022.25+10022.25+20004.25</f>
        <v>125059</v>
      </c>
      <c r="W14" s="10" t="s">
        <v>32</v>
      </c>
      <c r="X14" s="19"/>
      <c r="Y14" s="19"/>
      <c r="Z14" s="19"/>
    </row>
    <row r="15" ht="14.25" customHeight="1">
      <c r="A15" s="19">
        <v>44997.0</v>
      </c>
      <c r="B15" s="10"/>
      <c r="C15" s="19"/>
      <c r="D15" s="19">
        <f>0.5</f>
        <v>0.5</v>
      </c>
      <c r="E15" s="19">
        <f>500</f>
        <v>500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>
        <f>405</f>
        <v>405</v>
      </c>
      <c r="W15" s="26" t="s">
        <v>44</v>
      </c>
      <c r="X15" s="19"/>
      <c r="Y15" s="19"/>
      <c r="Z15" s="19"/>
    </row>
    <row r="16" ht="14.25" customHeight="1">
      <c r="A16" s="19">
        <v>44998.0</v>
      </c>
      <c r="B16" s="29" t="s">
        <v>79</v>
      </c>
      <c r="C16" s="19">
        <v>982.0</v>
      </c>
      <c r="D16" s="19">
        <f>149.5+494+1000+50+100+200</f>
        <v>1993.5</v>
      </c>
      <c r="E16" s="19">
        <f>1000</f>
        <v>1000</v>
      </c>
      <c r="F16" s="19"/>
      <c r="G16" s="19"/>
      <c r="H16" s="19"/>
      <c r="I16" s="19"/>
      <c r="J16" s="19"/>
      <c r="K16" s="19"/>
      <c r="L16" s="19">
        <f>1479902+328465</f>
        <v>1808367</v>
      </c>
      <c r="M16" s="19">
        <f>36860+10800</f>
        <v>47660</v>
      </c>
      <c r="N16" s="19"/>
      <c r="O16" s="19"/>
      <c r="P16" s="19"/>
      <c r="Q16" s="19"/>
      <c r="R16" s="19"/>
      <c r="S16" s="19"/>
      <c r="T16" s="19"/>
      <c r="U16" s="19"/>
      <c r="V16" s="19">
        <f>3000+700</f>
        <v>3700</v>
      </c>
      <c r="W16" s="26" t="s">
        <v>45</v>
      </c>
      <c r="X16" s="19"/>
      <c r="Y16" s="19"/>
      <c r="Z16" s="19"/>
    </row>
    <row r="17" ht="14.25" customHeight="1">
      <c r="A17" s="19">
        <v>44999.0</v>
      </c>
      <c r="B17" s="29" t="s">
        <v>79</v>
      </c>
      <c r="C17" s="19">
        <v>491.0</v>
      </c>
      <c r="D17" s="19">
        <f>49.5+24.5+799.5+50+50+60+100+0+200+500+5000</f>
        <v>6833.5</v>
      </c>
      <c r="E17" s="19">
        <f>12+600+600+220+110+240</f>
        <v>1782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>
        <f>1031</f>
        <v>1031</v>
      </c>
      <c r="W17" s="26" t="s">
        <v>59</v>
      </c>
      <c r="X17" s="19"/>
      <c r="Y17" s="19"/>
      <c r="Z17" s="19"/>
    </row>
    <row r="18" ht="14.25" customHeight="1">
      <c r="A18" s="19">
        <v>45000.0</v>
      </c>
      <c r="B18" s="16" t="s">
        <v>26</v>
      </c>
      <c r="C18" s="27">
        <v>1119.36</v>
      </c>
      <c r="D18" s="19">
        <f>0.5+199.5+110.35+25+5899.5+3100+4000+0.71+35+50+50+50+50+50+50+100+200+1000+5000+30000</f>
        <v>49970.56</v>
      </c>
      <c r="E18" s="19">
        <f>240+50+200+240+60</f>
        <v>790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f>1500</f>
        <v>1500</v>
      </c>
      <c r="W18" s="14" t="s">
        <v>84</v>
      </c>
      <c r="X18" s="19"/>
      <c r="Y18" s="19"/>
      <c r="Z18" s="19"/>
    </row>
    <row r="19" ht="14.25" customHeight="1">
      <c r="A19" s="19">
        <v>45001.0</v>
      </c>
      <c r="B19" s="10" t="s">
        <v>85</v>
      </c>
      <c r="C19" s="27">
        <v>1087988.99</v>
      </c>
      <c r="D19" s="19">
        <f>9.5+5000+772+300+120+50+100+10000</f>
        <v>16351.5</v>
      </c>
      <c r="E19" s="19">
        <f>2200+12+120+240+12+10+1100</f>
        <v>3694</v>
      </c>
      <c r="F19" s="19"/>
      <c r="G19" s="19"/>
      <c r="H19" s="19"/>
      <c r="I19" s="19"/>
      <c r="J19" s="19"/>
      <c r="K19" s="19"/>
      <c r="L19" s="19"/>
      <c r="M19" s="19">
        <f>44280</f>
        <v>44280</v>
      </c>
      <c r="N19" s="19"/>
      <c r="O19" s="19"/>
      <c r="P19" s="19"/>
      <c r="Q19" s="19"/>
      <c r="R19" s="19"/>
      <c r="S19" s="19"/>
      <c r="T19" s="19"/>
      <c r="U19" s="19"/>
      <c r="V19" s="19">
        <f>5760</f>
        <v>5760</v>
      </c>
      <c r="W19" s="26" t="s">
        <v>74</v>
      </c>
      <c r="X19" s="19"/>
      <c r="Y19" s="19"/>
      <c r="Z19" s="19"/>
    </row>
    <row r="20" ht="14.25" customHeight="1">
      <c r="A20" s="19">
        <v>45001.0</v>
      </c>
      <c r="B20" s="29" t="s">
        <v>79</v>
      </c>
      <c r="C20" s="19">
        <v>982.0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4200+4040</f>
        <v>8240</v>
      </c>
      <c r="W20" s="26" t="s">
        <v>65</v>
      </c>
      <c r="X20" s="19"/>
      <c r="Y20" s="19"/>
      <c r="Z20" s="19"/>
    </row>
    <row r="21" ht="14.25" customHeight="1">
      <c r="A21" s="19">
        <v>45002.0</v>
      </c>
      <c r="B21" s="29" t="s">
        <v>79</v>
      </c>
      <c r="C21" s="19">
        <f>98.2+491</f>
        <v>589.2</v>
      </c>
      <c r="D21" s="19">
        <f>0.5+300+200+10000+499.5+100+191.2+200+200+50+500</f>
        <v>12241.2</v>
      </c>
      <c r="E21" s="19">
        <f>5500+100+600+550+1200+120+100+100</f>
        <v>8270</v>
      </c>
      <c r="F21" s="19"/>
      <c r="G21" s="19"/>
      <c r="H21" s="19"/>
      <c r="I21" s="19"/>
      <c r="J21" s="19"/>
      <c r="K21" s="19"/>
      <c r="L21" s="19"/>
      <c r="M21" s="19">
        <f>7199.86</f>
        <v>7199.86</v>
      </c>
      <c r="N21" s="19"/>
      <c r="O21" s="19"/>
      <c r="P21" s="19"/>
      <c r="Q21" s="19"/>
      <c r="R21" s="19"/>
      <c r="S21" s="19"/>
      <c r="T21" s="19"/>
      <c r="U21" s="19"/>
      <c r="V21" s="19">
        <f>1853.93</f>
        <v>1853.93</v>
      </c>
      <c r="W21" s="26" t="s">
        <v>30</v>
      </c>
      <c r="X21" s="19"/>
      <c r="Y21" s="19"/>
      <c r="Z21" s="19"/>
    </row>
    <row r="22" ht="14.25" customHeight="1">
      <c r="A22" s="19">
        <v>45003.0</v>
      </c>
      <c r="B22" s="10"/>
      <c r="C22" s="19"/>
      <c r="D22" s="19">
        <f>0.5+0.5+10.5+0.5</f>
        <v>12</v>
      </c>
      <c r="E22" s="19">
        <f>10+800+198</f>
        <v>1008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f>715</f>
        <v>715</v>
      </c>
      <c r="W22" s="14" t="s">
        <v>36</v>
      </c>
      <c r="X22" s="19"/>
      <c r="Y22" s="19"/>
      <c r="Z22" s="19"/>
    </row>
    <row r="23" ht="14.25" customHeight="1">
      <c r="A23" s="19">
        <v>45004.0</v>
      </c>
      <c r="B23" s="10"/>
      <c r="C23" s="19"/>
      <c r="D23" s="19">
        <f>9.5</f>
        <v>9.5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f>13000</f>
        <v>13000</v>
      </c>
      <c r="W23" s="14" t="s">
        <v>86</v>
      </c>
      <c r="X23" s="19"/>
      <c r="Y23" s="19"/>
      <c r="Z23" s="19"/>
    </row>
    <row r="24" ht="14.25" customHeight="1">
      <c r="A24" s="19">
        <v>45005.0</v>
      </c>
      <c r="B24" s="10"/>
      <c r="C24" s="19"/>
      <c r="D24" s="19">
        <f>1499.5+4.5+250+500+25000</f>
        <v>27254</v>
      </c>
      <c r="E24" s="19">
        <f>50+240+12+3.6+60+1200</f>
        <v>1565.6</v>
      </c>
      <c r="F24" s="19"/>
      <c r="G24" s="19"/>
      <c r="H24" s="19"/>
      <c r="I24" s="19"/>
      <c r="J24" s="19"/>
      <c r="K24" s="19"/>
      <c r="L24" s="19">
        <f>2680000</f>
        <v>2680000</v>
      </c>
      <c r="M24" s="19"/>
      <c r="N24" s="19"/>
      <c r="O24" s="19"/>
      <c r="P24" s="19"/>
      <c r="Q24" s="19"/>
      <c r="R24" s="19"/>
      <c r="S24" s="19"/>
      <c r="T24" s="19"/>
      <c r="U24" s="19"/>
      <c r="V24" s="19">
        <f>4500</f>
        <v>4500</v>
      </c>
      <c r="W24" s="14" t="s">
        <v>87</v>
      </c>
      <c r="X24" s="19"/>
      <c r="Y24" s="19"/>
      <c r="Z24" s="19"/>
    </row>
    <row r="25" ht="14.25" customHeight="1">
      <c r="A25" s="19">
        <v>45006.0</v>
      </c>
      <c r="B25" s="10"/>
      <c r="C25" s="19"/>
      <c r="D25" s="19">
        <f>9.5+9.5+0.5+200+50+50+100+100+100</f>
        <v>619.5</v>
      </c>
      <c r="E25" s="19">
        <f>600+600+24+550+550+5+6000+50+16500</f>
        <v>24879</v>
      </c>
      <c r="F25" s="19"/>
      <c r="G25" s="19"/>
      <c r="H25" s="19"/>
      <c r="I25" s="19"/>
      <c r="J25" s="19"/>
      <c r="K25" s="19"/>
      <c r="L25" s="19"/>
      <c r="M25" s="19">
        <f>16525</f>
        <v>16525</v>
      </c>
      <c r="N25" s="19"/>
      <c r="O25" s="19"/>
      <c r="P25" s="19"/>
      <c r="Q25" s="19"/>
      <c r="R25" s="19"/>
      <c r="S25" s="19"/>
      <c r="T25" s="19"/>
      <c r="U25" s="19"/>
      <c r="V25" s="19">
        <f>25000+25000</f>
        <v>50000</v>
      </c>
      <c r="W25" s="14" t="s">
        <v>48</v>
      </c>
      <c r="X25" s="19"/>
      <c r="Y25" s="19"/>
      <c r="Z25" s="19"/>
    </row>
    <row r="26" ht="14.25" customHeight="1">
      <c r="A26" s="19">
        <v>45007.0</v>
      </c>
      <c r="B26" s="10" t="s">
        <v>88</v>
      </c>
      <c r="C26" s="19">
        <v>25000.0</v>
      </c>
      <c r="D26" s="19">
        <f>0.5+0.5+500+30+100+1000</f>
        <v>1631</v>
      </c>
      <c r="E26" s="19">
        <f>1100+220+60+60+4.4+22+4.4+300+240+110+550+120</f>
        <v>2790.8</v>
      </c>
      <c r="F26" s="19"/>
      <c r="G26" s="19"/>
      <c r="H26" s="19"/>
      <c r="I26" s="19"/>
      <c r="J26" s="19"/>
      <c r="K26" s="19"/>
      <c r="L26" s="19">
        <f>165300+100000</f>
        <v>265300</v>
      </c>
      <c r="M26" s="19"/>
      <c r="N26" s="19"/>
      <c r="O26" s="19"/>
      <c r="P26" s="19"/>
      <c r="Q26" s="19"/>
      <c r="R26" s="19"/>
      <c r="S26" s="19"/>
      <c r="T26" s="19"/>
      <c r="U26" s="19"/>
      <c r="V26" s="19">
        <f>8000</f>
        <v>8000</v>
      </c>
      <c r="W26" s="14" t="s">
        <v>89</v>
      </c>
      <c r="X26" s="19"/>
      <c r="Y26" s="19"/>
      <c r="Z26" s="19"/>
    </row>
    <row r="27" ht="14.25" customHeight="1">
      <c r="A27" s="19">
        <v>45008.0</v>
      </c>
      <c r="B27" s="10"/>
      <c r="C27" s="19"/>
      <c r="D27" s="19">
        <f>50+100+200+500+40000</f>
        <v>40850</v>
      </c>
      <c r="E27" s="19">
        <f>120+1000+366.3+240+600+30+12100+550</f>
        <v>15006.3</v>
      </c>
      <c r="F27" s="19"/>
      <c r="G27" s="19"/>
      <c r="H27" s="19"/>
      <c r="I27" s="19"/>
      <c r="J27" s="19"/>
      <c r="K27" s="19"/>
      <c r="L27" s="19"/>
      <c r="M27" s="29">
        <v>12976.86</v>
      </c>
      <c r="N27" s="19"/>
      <c r="O27" s="19"/>
      <c r="P27" s="19"/>
      <c r="Q27" s="19"/>
      <c r="R27" s="19"/>
      <c r="S27" s="19"/>
      <c r="T27" s="19"/>
      <c r="U27" s="19"/>
      <c r="V27" s="19">
        <f>399</f>
        <v>399</v>
      </c>
      <c r="W27" s="26" t="s">
        <v>43</v>
      </c>
      <c r="X27" s="19"/>
      <c r="Y27" s="19"/>
      <c r="Z27" s="19"/>
    </row>
    <row r="28" ht="14.25" customHeight="1">
      <c r="A28" s="19">
        <v>45009.0</v>
      </c>
      <c r="B28" s="10" t="s">
        <v>79</v>
      </c>
      <c r="C28" s="19">
        <v>1080.2</v>
      </c>
      <c r="D28" s="19">
        <f>599.5+0.5+9.5+0.5+50+100+120+200+500+500+787+2000+5000+5000+20000+40000</f>
        <v>74867</v>
      </c>
      <c r="E28" s="19">
        <f>6000+12+1100+6+600+300+600+120+240+220+100+600+120+6+12100+220+300+33</f>
        <v>22677</v>
      </c>
      <c r="F28" s="19"/>
      <c r="G28" s="19"/>
      <c r="H28" s="19"/>
      <c r="I28" s="19"/>
      <c r="J28" s="19"/>
      <c r="K28" s="19"/>
      <c r="L28" s="19">
        <f>1491777.95</f>
        <v>1491777.95</v>
      </c>
      <c r="M28" s="19"/>
      <c r="N28" s="19"/>
      <c r="O28" s="19"/>
      <c r="P28" s="19"/>
      <c r="Q28" s="19"/>
      <c r="R28" s="19"/>
      <c r="S28" s="19"/>
      <c r="T28" s="19"/>
      <c r="U28" s="19"/>
      <c r="V28" s="19">
        <f>12100</f>
        <v>12100</v>
      </c>
      <c r="W28" s="14" t="s">
        <v>90</v>
      </c>
      <c r="X28" s="19"/>
      <c r="Y28" s="19"/>
      <c r="Z28" s="19"/>
    </row>
    <row r="29" ht="14.25" customHeight="1">
      <c r="A29" s="19">
        <v>45010.0</v>
      </c>
      <c r="B29" s="10"/>
      <c r="C29" s="19"/>
      <c r="D29" s="19">
        <f>299.5+99.5+0.5+99.5+9.5+0.5+0.5</f>
        <v>509.5</v>
      </c>
      <c r="E29" s="19">
        <f>240+275+24+5+120+36+201+200+220+220+3600</f>
        <v>5141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X29" s="19"/>
      <c r="Y29" s="19"/>
      <c r="Z29" s="19"/>
    </row>
    <row r="30" ht="14.25" customHeight="1">
      <c r="A30" s="19">
        <v>45011.0</v>
      </c>
      <c r="B30" s="29"/>
      <c r="C30" s="19"/>
      <c r="D30" s="19">
        <f>199.5</f>
        <v>199.5</v>
      </c>
      <c r="E30" s="19">
        <f>1100+550+200+7+60+240+240+490+240+120+200+240+240+480+240+600+360+220+300+600+100+240+240+240+220+600+1100+600+100+6+600</f>
        <v>10773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X30" s="19"/>
      <c r="Y30" s="19"/>
      <c r="Z30" s="19"/>
    </row>
    <row r="31" ht="14.25" customHeight="1">
      <c r="A31" s="19">
        <v>45012.0</v>
      </c>
      <c r="B31" s="10" t="s">
        <v>91</v>
      </c>
      <c r="C31" s="19">
        <v>98970.0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30"/>
      <c r="X31" s="19"/>
      <c r="Y31" s="19"/>
      <c r="Z31" s="19"/>
    </row>
    <row r="32" ht="14.25" customHeight="1">
      <c r="A32" s="7">
        <v>45012.0</v>
      </c>
      <c r="B32" s="19" t="s">
        <v>79</v>
      </c>
      <c r="C32" s="19">
        <v>49.1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X32" s="19"/>
      <c r="Y32" s="19"/>
      <c r="Z32" s="19"/>
    </row>
    <row r="33" ht="14.25" customHeight="1">
      <c r="A33" s="7">
        <v>45012.0</v>
      </c>
      <c r="B33" s="28" t="s">
        <v>92</v>
      </c>
      <c r="C33" s="19">
        <v>5000.0</v>
      </c>
      <c r="D33" s="19">
        <f>9.5+0.5+499.5+495+500+24.5+23+50+50+50+1000+1000+1000+1500</f>
        <v>6202</v>
      </c>
      <c r="E33" s="19">
        <f>6+6+240+1200+360+600+4+60+1200+480+550</f>
        <v>4706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X33" s="19"/>
      <c r="Y33" s="19"/>
      <c r="Z33" s="19"/>
    </row>
    <row r="34" ht="21.75" customHeight="1">
      <c r="A34" s="19">
        <v>45013.0</v>
      </c>
      <c r="B34" s="31" t="s">
        <v>93</v>
      </c>
      <c r="C34" s="19">
        <v>4000.0</v>
      </c>
      <c r="D34" s="19"/>
      <c r="E34" s="19"/>
      <c r="F34" s="19"/>
      <c r="G34" s="19"/>
      <c r="H34" s="19"/>
      <c r="I34" s="19"/>
      <c r="J34" s="19"/>
      <c r="K34" s="19"/>
      <c r="L34" s="19"/>
      <c r="M34" s="19">
        <f>5720</f>
        <v>5720</v>
      </c>
      <c r="N34" s="19"/>
      <c r="O34" s="19"/>
      <c r="P34" s="19"/>
      <c r="Q34" s="19"/>
      <c r="R34" s="19"/>
      <c r="S34" s="19"/>
      <c r="T34" s="19"/>
      <c r="U34" s="19"/>
      <c r="V34" s="19"/>
      <c r="X34" s="19"/>
      <c r="Y34" s="19"/>
      <c r="Z34" s="19"/>
    </row>
    <row r="35" ht="20.25" customHeight="1">
      <c r="A35" s="19">
        <v>45013.0</v>
      </c>
      <c r="B35" s="28" t="s">
        <v>94</v>
      </c>
      <c r="C35" s="19">
        <v>5000.0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X35" s="19"/>
      <c r="Y35" s="19"/>
      <c r="Z35" s="19"/>
    </row>
    <row r="36" ht="27.75" customHeight="1">
      <c r="A36" s="19">
        <v>45013.0</v>
      </c>
      <c r="B36" s="31" t="s">
        <v>95</v>
      </c>
      <c r="C36" s="19">
        <v>50000.0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X36" s="19"/>
      <c r="Y36" s="19"/>
      <c r="Z36" s="19"/>
    </row>
    <row r="37" ht="14.25" customHeight="1">
      <c r="A37" s="19">
        <v>45013.0</v>
      </c>
      <c r="B37" s="10" t="s">
        <v>96</v>
      </c>
      <c r="C37" s="19">
        <v>40000.0</v>
      </c>
      <c r="D37" s="19">
        <f>0.5+9.5+4.5+0.5+4000+5.54+73.1+134.71+146.2+1000+1000+3000</f>
        <v>9374.55</v>
      </c>
      <c r="E37" s="19">
        <f>60+5+5+1000+2000+24+240+240+200</f>
        <v>3774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19">
        <v>45014.0</v>
      </c>
      <c r="B38" s="31" t="s">
        <v>97</v>
      </c>
      <c r="C38" s="19">
        <v>5000.0</v>
      </c>
      <c r="D38" s="19">
        <f>5000+7000+2000+202+1000+2000+4000+5000+100000</f>
        <v>126202</v>
      </c>
      <c r="E38" s="19">
        <f>550+1000+4.4+240+240+60+240</f>
        <v>2334.4</v>
      </c>
      <c r="F38" s="19"/>
      <c r="G38" s="19"/>
      <c r="H38" s="19"/>
      <c r="I38" s="19"/>
      <c r="J38" s="19"/>
      <c r="K38" s="19"/>
      <c r="L38" s="19"/>
      <c r="M38" s="19">
        <f>59985</f>
        <v>59985</v>
      </c>
      <c r="N38" s="19"/>
      <c r="O38" s="19"/>
      <c r="P38" s="19"/>
      <c r="Q38" s="19"/>
      <c r="R38" s="19">
        <f>1087733</f>
        <v>1087733</v>
      </c>
      <c r="S38" s="19"/>
      <c r="T38" s="19"/>
      <c r="U38" s="19"/>
      <c r="V38" s="19"/>
      <c r="X38" s="19"/>
      <c r="Y38" s="19"/>
      <c r="Z38" s="19"/>
    </row>
    <row r="39" ht="14.25" customHeight="1">
      <c r="A39" s="19">
        <v>45015.0</v>
      </c>
      <c r="B39" s="19" t="s">
        <v>79</v>
      </c>
      <c r="C39" s="19">
        <v>196.4</v>
      </c>
      <c r="D39" s="19">
        <f>2000+6.1+100+200</f>
        <v>2306.1</v>
      </c>
      <c r="E39" s="19">
        <f>600+600+60+600+550+240+4.4+50+4.4+55+550+600+36</f>
        <v>3949.8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>
        <f>75000</f>
        <v>75000</v>
      </c>
      <c r="R39" s="19"/>
      <c r="S39" s="19"/>
      <c r="T39" s="19"/>
      <c r="U39" s="19"/>
      <c r="V39" s="19"/>
      <c r="X39" s="19"/>
      <c r="Y39" s="19"/>
      <c r="Z39" s="19"/>
    </row>
    <row r="40" ht="14.25" customHeight="1">
      <c r="A40" s="19">
        <v>45016.0</v>
      </c>
      <c r="B40" s="10" t="s">
        <v>39</v>
      </c>
      <c r="C40" s="27">
        <v>6953452.0</v>
      </c>
      <c r="D40" s="19">
        <f>3000+13+10</f>
        <v>3023</v>
      </c>
      <c r="E40" s="19"/>
      <c r="F40" s="19"/>
      <c r="G40" s="19">
        <v>20.38</v>
      </c>
      <c r="H40" s="19"/>
      <c r="I40" s="19"/>
      <c r="J40" s="19"/>
      <c r="K40" s="19"/>
      <c r="L40" s="19"/>
      <c r="M40" s="19"/>
      <c r="N40" s="19">
        <f>1002.2+1740+2736+869.51+6120+2207.72+9472.33+2929.79+6040</f>
        <v>33117.55</v>
      </c>
      <c r="O40" s="19"/>
      <c r="P40" s="19"/>
      <c r="Q40" s="19"/>
      <c r="R40" s="19"/>
      <c r="S40" s="19"/>
      <c r="T40" s="19"/>
      <c r="U40" s="19"/>
      <c r="V40" s="19"/>
      <c r="X40" s="19"/>
      <c r="Y40" s="19"/>
      <c r="Z40" s="19"/>
    </row>
    <row r="41" ht="14.25" customHeight="1">
      <c r="A41" s="19">
        <v>45016.0</v>
      </c>
      <c r="B41" s="10" t="s">
        <v>39</v>
      </c>
      <c r="C41" s="11">
        <v>1770645.76</v>
      </c>
      <c r="D41" s="19">
        <f>0.5+500+2000+500+1000+1000+10000</f>
        <v>15000.5</v>
      </c>
      <c r="E41" s="19">
        <f>156+240+100+360+96+6+24+550</f>
        <v>1532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4.25" customHeight="1">
      <c r="A42" s="19">
        <v>45016.0</v>
      </c>
      <c r="B42" s="19" t="s">
        <v>79</v>
      </c>
      <c r="C42" s="19">
        <v>392.8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4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4.25" customHeight="1">
      <c r="A44" s="23" t="s">
        <v>50</v>
      </c>
      <c r="B44" s="24"/>
      <c r="C44" s="24">
        <f t="shared" ref="C44:E44" si="1">SUM(C3:C43)</f>
        <v>10215490.7</v>
      </c>
      <c r="D44" s="24">
        <f t="shared" si="1"/>
        <v>626768.26</v>
      </c>
      <c r="E44" s="24">
        <f t="shared" si="1"/>
        <v>139612.9</v>
      </c>
      <c r="F44" s="24">
        <f>SUM(C44:E44)</f>
        <v>10981871.86</v>
      </c>
      <c r="G44" s="24">
        <f t="shared" ref="G44:V44" si="2">SUM(G3:G43)</f>
        <v>20.38</v>
      </c>
      <c r="H44" s="24">
        <f t="shared" si="2"/>
        <v>0</v>
      </c>
      <c r="I44" s="24">
        <f t="shared" si="2"/>
        <v>0</v>
      </c>
      <c r="J44" s="24">
        <f t="shared" si="2"/>
        <v>0</v>
      </c>
      <c r="K44" s="24">
        <f t="shared" si="2"/>
        <v>0</v>
      </c>
      <c r="L44" s="24">
        <f t="shared" si="2"/>
        <v>6245444.95</v>
      </c>
      <c r="M44" s="24">
        <f t="shared" si="2"/>
        <v>318209.72</v>
      </c>
      <c r="N44" s="24">
        <f t="shared" si="2"/>
        <v>136519.53</v>
      </c>
      <c r="O44" s="24">
        <f t="shared" si="2"/>
        <v>0</v>
      </c>
      <c r="P44" s="24">
        <f t="shared" si="2"/>
        <v>0</v>
      </c>
      <c r="Q44" s="24">
        <f t="shared" si="2"/>
        <v>75000</v>
      </c>
      <c r="R44" s="24">
        <f t="shared" si="2"/>
        <v>1087733</v>
      </c>
      <c r="S44" s="24">
        <f t="shared" si="2"/>
        <v>0</v>
      </c>
      <c r="T44" s="24">
        <f t="shared" si="2"/>
        <v>0</v>
      </c>
      <c r="U44" s="24">
        <f t="shared" si="2"/>
        <v>0</v>
      </c>
      <c r="V44" s="24">
        <f t="shared" si="2"/>
        <v>649020.35</v>
      </c>
      <c r="W44" s="25"/>
      <c r="X44" s="25"/>
      <c r="Y44" s="25"/>
      <c r="Z44" s="25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6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14.25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98</v>
      </c>
      <c r="I2" s="2" t="s">
        <v>11</v>
      </c>
      <c r="J2" s="2" t="s">
        <v>99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100</v>
      </c>
      <c r="Q2" s="2" t="s">
        <v>19</v>
      </c>
      <c r="R2" s="2" t="s">
        <v>78</v>
      </c>
      <c r="S2" s="2" t="s">
        <v>21</v>
      </c>
      <c r="T2" s="2" t="s">
        <v>22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f>3+3+3+3+3+3+3+3+3+3+3+3+3+3+3+3+3+3+3+3+3+3+3+3+3+3+3+3+3+3+3+3+3+3+3+3+3+3+3+3+176.13+3+3+3+3+3+3+3+3+3</f>
        <v>323.13</v>
      </c>
      <c r="W3" s="10" t="s">
        <v>24</v>
      </c>
      <c r="X3" s="19"/>
      <c r="Y3" s="19"/>
      <c r="Z3" s="19"/>
    </row>
    <row r="4" ht="14.25" customHeight="1">
      <c r="A4" s="34">
        <v>44930.0</v>
      </c>
      <c r="B4" s="10"/>
      <c r="C4" s="19"/>
      <c r="D4" s="19">
        <f>49.5+9.5+9.5+299.5+499.5</f>
        <v>867.5</v>
      </c>
      <c r="E4" s="19">
        <f>480+3.3+4.4+120+120+1100+5000+120</f>
        <v>6947.7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90+1166.45</f>
        <v>1256.45</v>
      </c>
      <c r="W4" s="26" t="s">
        <v>29</v>
      </c>
      <c r="X4" s="19"/>
      <c r="Y4" s="19"/>
      <c r="Z4" s="19"/>
    </row>
    <row r="5" ht="14.25" customHeight="1">
      <c r="A5" s="34">
        <v>44961.0</v>
      </c>
      <c r="B5" s="10"/>
      <c r="C5" s="19"/>
      <c r="D5" s="19">
        <f>400+500</f>
        <v>900</v>
      </c>
      <c r="E5" s="19">
        <f>240+16.5+600+200+120+11</f>
        <v>1187.5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26055+37500+12500+12500</f>
        <v>88555</v>
      </c>
      <c r="W5" s="14" t="s">
        <v>73</v>
      </c>
      <c r="X5" s="19"/>
      <c r="Y5" s="19"/>
      <c r="Z5" s="19"/>
    </row>
    <row r="6" ht="14.25" customHeight="1">
      <c r="A6" s="34">
        <v>44989.0</v>
      </c>
      <c r="B6" s="10" t="s">
        <v>79</v>
      </c>
      <c r="C6" s="9">
        <f>1964+9820+7812.79</f>
        <v>19596.79</v>
      </c>
      <c r="D6" s="19">
        <f>499.5+4000+0.5+0.5+199.5+9.5+50+1000</f>
        <v>5759.5</v>
      </c>
      <c r="E6" s="19">
        <f>240+60+2200+220+240+4.4+60+120+108+27.5+36</f>
        <v>3315.9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1995</f>
        <v>1995</v>
      </c>
      <c r="W6" s="14" t="s">
        <v>101</v>
      </c>
      <c r="X6" s="19"/>
      <c r="Y6" s="19"/>
      <c r="Z6" s="19"/>
    </row>
    <row r="7" ht="14.25" customHeight="1">
      <c r="A7" s="34">
        <v>45020.0</v>
      </c>
      <c r="B7" s="16" t="s">
        <v>83</v>
      </c>
      <c r="C7" s="19">
        <v>180.0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1037</f>
        <v>1037</v>
      </c>
      <c r="W7" s="14" t="s">
        <v>102</v>
      </c>
      <c r="X7" s="19"/>
      <c r="Y7" s="19"/>
      <c r="Z7" s="19"/>
    </row>
    <row r="8" ht="14.25" customHeight="1">
      <c r="A8" s="34">
        <v>45020.0</v>
      </c>
      <c r="B8" s="10" t="s">
        <v>79</v>
      </c>
      <c r="C8" s="19">
        <f>196.4+196.4+392.8+589.2+1276.6+1964+7856+9820</f>
        <v>22291.4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700+2900</f>
        <v>3600</v>
      </c>
      <c r="W8" s="14" t="s">
        <v>45</v>
      </c>
      <c r="X8" s="19"/>
      <c r="Y8" s="19"/>
      <c r="Z8" s="19"/>
    </row>
    <row r="9" ht="14.25" customHeight="1">
      <c r="A9" s="34">
        <v>45020.0</v>
      </c>
      <c r="B9" s="9" t="s">
        <v>103</v>
      </c>
      <c r="C9" s="19">
        <v>20000.0</v>
      </c>
      <c r="D9" s="19">
        <f>0.5+500+50+150+1000+10000</f>
        <v>11700.5</v>
      </c>
      <c r="E9" s="19">
        <f>120+98+120+240+600+5.5+550+480</f>
        <v>2213.5</v>
      </c>
      <c r="F9" s="19"/>
      <c r="G9" s="19"/>
      <c r="H9" s="19"/>
      <c r="I9" s="19"/>
      <c r="J9" s="19"/>
      <c r="K9" s="19"/>
      <c r="L9" s="19"/>
      <c r="M9" s="19">
        <f>1444.9+7500</f>
        <v>8944.9</v>
      </c>
      <c r="N9" s="19"/>
      <c r="O9" s="19"/>
      <c r="P9" s="19"/>
      <c r="Q9" s="19"/>
      <c r="R9" s="19"/>
      <c r="S9" s="19"/>
      <c r="T9" s="19"/>
      <c r="U9" s="19"/>
      <c r="V9" s="19">
        <f>715</f>
        <v>715</v>
      </c>
      <c r="W9" s="14" t="s">
        <v>36</v>
      </c>
      <c r="X9" s="19"/>
      <c r="Y9" s="19"/>
      <c r="Z9" s="19"/>
    </row>
    <row r="10" ht="14.25" customHeight="1">
      <c r="A10" s="34">
        <v>45050.0</v>
      </c>
      <c r="B10" s="10" t="s">
        <v>104</v>
      </c>
      <c r="C10" s="27">
        <v>6345.75</v>
      </c>
      <c r="D10" s="19"/>
      <c r="E10" s="19"/>
      <c r="F10" s="19"/>
      <c r="G10" s="19"/>
      <c r="H10" s="19"/>
      <c r="I10" s="19"/>
      <c r="J10" s="19"/>
      <c r="K10" s="19"/>
      <c r="L10" s="19"/>
      <c r="M10" s="19">
        <f>26430</f>
        <v>26430</v>
      </c>
      <c r="N10" s="19"/>
      <c r="O10" s="19"/>
      <c r="P10" s="19"/>
      <c r="Q10" s="19"/>
      <c r="R10" s="19"/>
      <c r="S10" s="19"/>
      <c r="T10" s="19"/>
      <c r="U10" s="19"/>
      <c r="V10" s="19">
        <f>1853.93</f>
        <v>1853.93</v>
      </c>
      <c r="W10" s="26" t="s">
        <v>105</v>
      </c>
      <c r="X10" s="19"/>
      <c r="Y10" s="19"/>
      <c r="Z10" s="19"/>
    </row>
    <row r="11" ht="14.25" customHeight="1">
      <c r="A11" s="34">
        <v>45050.0</v>
      </c>
      <c r="B11" s="9" t="s">
        <v>79</v>
      </c>
      <c r="C11" s="7">
        <f>98.2+1473</f>
        <v>1571.2</v>
      </c>
      <c r="D11" s="19">
        <f>209.5+99.5+5000+0.5+1075+499.5+2408</f>
        <v>9292</v>
      </c>
      <c r="E11" s="19">
        <f>60+550+216+330+600+1000+440+5.5+600+220+60+240+480+120+60</f>
        <v>4981.5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1837</f>
        <v>1837</v>
      </c>
      <c r="W11" s="26" t="s">
        <v>59</v>
      </c>
      <c r="X11" s="19"/>
      <c r="Y11" s="19"/>
      <c r="Z11" s="19"/>
    </row>
    <row r="12" ht="14.25" customHeight="1">
      <c r="A12" s="34">
        <v>45081.0</v>
      </c>
      <c r="B12" s="9" t="s">
        <v>79</v>
      </c>
      <c r="C12" s="7">
        <f>6874+70126.58</f>
        <v>77000.58</v>
      </c>
      <c r="D12" s="19">
        <f>9.5+9.5+999.5+1100+10000</f>
        <v>12118.5</v>
      </c>
      <c r="E12" s="19">
        <f>390.5+550+3.6+500+600+60+110</f>
        <v>2214.1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>405</f>
        <v>405</v>
      </c>
      <c r="W12" s="26" t="s">
        <v>44</v>
      </c>
      <c r="X12" s="19"/>
      <c r="Y12" s="19"/>
      <c r="Z12" s="19"/>
    </row>
    <row r="13" ht="14.25" customHeight="1">
      <c r="A13" s="34">
        <v>45111.0</v>
      </c>
      <c r="B13" s="16" t="s">
        <v>79</v>
      </c>
      <c r="C13" s="19">
        <f>9.82+6412.46</f>
        <v>6422.28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33515+12500+12500</f>
        <v>58515</v>
      </c>
      <c r="W13" s="26" t="s">
        <v>27</v>
      </c>
      <c r="X13" s="19"/>
      <c r="Y13" s="19"/>
      <c r="Z13" s="19"/>
    </row>
    <row r="14" ht="14.25" customHeight="1">
      <c r="A14" s="34">
        <v>45111.0</v>
      </c>
      <c r="B14" s="16" t="s">
        <v>106</v>
      </c>
      <c r="C14" s="19">
        <f>60000</f>
        <v>60000</v>
      </c>
      <c r="D14" s="19">
        <f>102220+9.5+1000+700+50000+373+1000</f>
        <v>155302.5</v>
      </c>
      <c r="E14" s="19">
        <f>1100+110+110+4.4+2+600+120+600+240+440+372</f>
        <v>3698.4</v>
      </c>
      <c r="F14" s="19"/>
      <c r="G14" s="19"/>
      <c r="H14" s="19"/>
      <c r="I14" s="19"/>
      <c r="J14" s="19"/>
      <c r="K14" s="19"/>
      <c r="L14" s="19"/>
      <c r="M14" s="19">
        <f>416520+409400+409400+409400+17600</f>
        <v>1662320</v>
      </c>
      <c r="N14" s="19"/>
      <c r="O14" s="19"/>
      <c r="P14" s="19"/>
      <c r="Q14" s="19"/>
      <c r="R14" s="19"/>
      <c r="S14" s="19"/>
      <c r="T14" s="19"/>
      <c r="U14" s="19"/>
      <c r="V14" s="19">
        <f>4720</f>
        <v>4720</v>
      </c>
      <c r="W14" s="14" t="s">
        <v>107</v>
      </c>
      <c r="X14" s="19"/>
      <c r="Y14" s="19"/>
      <c r="Z14" s="19"/>
    </row>
    <row r="15" ht="14.25" customHeight="1">
      <c r="A15" s="34">
        <v>45142.0</v>
      </c>
      <c r="C15" s="19"/>
      <c r="D15" s="19">
        <f>1554.5+9.5+10.5</f>
        <v>1574.5</v>
      </c>
      <c r="E15" s="19">
        <f>2.2+200+350+240+120+3300</f>
        <v>4212.2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>
        <f>56430</f>
        <v>56430</v>
      </c>
      <c r="W15" s="26" t="s">
        <v>66</v>
      </c>
      <c r="X15" s="19"/>
      <c r="Y15" s="19"/>
      <c r="Z15" s="19"/>
    </row>
    <row r="16" ht="14.25" customHeight="1">
      <c r="A16" s="34">
        <v>45173.0</v>
      </c>
      <c r="B16" s="10"/>
      <c r="C16" s="19"/>
      <c r="D16" s="19">
        <f>99.5+4.5+2000</f>
        <v>2104</v>
      </c>
      <c r="E16" s="19">
        <f>200+600+6+330+100+120+120+220+500+3.3+200.4+200+120+60</f>
        <v>2779.7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f>790</f>
        <v>790</v>
      </c>
      <c r="W16" s="14" t="s">
        <v>53</v>
      </c>
      <c r="X16" s="19"/>
      <c r="Y16" s="19"/>
      <c r="Z16" s="19"/>
    </row>
    <row r="17" ht="14.25" customHeight="1">
      <c r="A17" s="34">
        <v>45203.0</v>
      </c>
      <c r="B17" s="10" t="s">
        <v>79</v>
      </c>
      <c r="C17" s="19">
        <f>8425.56</f>
        <v>8425.56</v>
      </c>
      <c r="D17" s="19">
        <f>0.5+25267+30+5+635+2226.75</f>
        <v>28164.25</v>
      </c>
      <c r="E17" s="19">
        <f>500+600+3.6+500+3.3+60+165+22.8+550+60+11</f>
        <v>2475.7</v>
      </c>
      <c r="F17" s="19"/>
      <c r="G17" s="19"/>
      <c r="H17" s="19"/>
      <c r="I17" s="19"/>
      <c r="J17" s="19"/>
      <c r="K17" s="19"/>
      <c r="L17" s="19"/>
      <c r="M17" s="19">
        <f>25649.84</f>
        <v>25649.84</v>
      </c>
      <c r="N17" s="19"/>
      <c r="O17" s="19"/>
      <c r="P17" s="19"/>
      <c r="Q17" s="19"/>
      <c r="R17" s="19"/>
      <c r="S17" s="19"/>
      <c r="T17" s="19"/>
      <c r="U17" s="19"/>
      <c r="V17" s="19">
        <f>1200+1600</f>
        <v>2800</v>
      </c>
      <c r="W17" s="18" t="s">
        <v>108</v>
      </c>
      <c r="X17" s="19"/>
      <c r="Y17" s="19"/>
      <c r="Z17" s="19"/>
    </row>
    <row r="18" ht="14.25" customHeight="1">
      <c r="A18" s="34">
        <v>45234.0</v>
      </c>
      <c r="B18" s="10" t="s">
        <v>79</v>
      </c>
      <c r="C18" s="19">
        <v>2946.0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f>9927</f>
        <v>9927</v>
      </c>
      <c r="W18" s="18" t="s">
        <v>109</v>
      </c>
      <c r="X18" s="19"/>
      <c r="Y18" s="19"/>
      <c r="Z18" s="19"/>
    </row>
    <row r="19" ht="14.25" customHeight="1">
      <c r="A19" s="34">
        <v>45234.0</v>
      </c>
      <c r="B19" s="28" t="s">
        <v>110</v>
      </c>
      <c r="C19" s="19">
        <v>3500.0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f>20004.25+25162+9016</f>
        <v>54182.25</v>
      </c>
      <c r="W19" s="14" t="s">
        <v>31</v>
      </c>
      <c r="X19" s="19"/>
      <c r="Y19" s="19"/>
      <c r="Z19" s="19"/>
    </row>
    <row r="20" ht="14.25" customHeight="1">
      <c r="A20" s="34">
        <v>45234.0</v>
      </c>
      <c r="B20" s="28" t="s">
        <v>111</v>
      </c>
      <c r="C20" s="19">
        <v>3500.0</v>
      </c>
      <c r="D20" s="19">
        <f>9.5+50+5255.6+10000</f>
        <v>15315.1</v>
      </c>
      <c r="E20" s="19">
        <f>4.4+600+120+120+6+240+102+120+240+200</f>
        <v>1752.4</v>
      </c>
      <c r="F20" s="19"/>
      <c r="G20" s="19"/>
      <c r="H20" s="19"/>
      <c r="I20" s="19"/>
      <c r="J20" s="19"/>
      <c r="K20" s="19"/>
      <c r="L20" s="19"/>
      <c r="M20" s="19">
        <f>31250</f>
        <v>31250</v>
      </c>
      <c r="N20" s="19"/>
      <c r="O20" s="19"/>
      <c r="P20" s="19"/>
      <c r="Q20" s="19"/>
      <c r="R20" s="19"/>
      <c r="S20" s="19"/>
      <c r="T20" s="19"/>
      <c r="U20" s="19"/>
      <c r="V20" s="19">
        <f>10022.25+20004.25+10022.25+9016+10022.25</f>
        <v>59087</v>
      </c>
      <c r="W20" s="10" t="s">
        <v>32</v>
      </c>
      <c r="X20" s="19"/>
      <c r="Y20" s="19"/>
      <c r="Z20" s="19"/>
    </row>
    <row r="21" ht="14.25" customHeight="1">
      <c r="A21" s="35">
        <v>45264.0</v>
      </c>
      <c r="B21" s="9" t="s">
        <v>79</v>
      </c>
      <c r="C21" s="19">
        <f>596.07</f>
        <v>596.07</v>
      </c>
      <c r="D21" s="19">
        <f>0.5+500+4200</f>
        <v>4700.5</v>
      </c>
      <c r="E21" s="19">
        <f>400+220+550+6+1200+36</f>
        <v>2412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>
        <f>12100+12100</f>
        <v>24200</v>
      </c>
      <c r="W21" s="26" t="s">
        <v>90</v>
      </c>
      <c r="X21" s="19"/>
      <c r="Y21" s="19"/>
      <c r="Z21" s="19"/>
    </row>
    <row r="22" ht="14.25" customHeight="1">
      <c r="A22" s="35" t="s">
        <v>112</v>
      </c>
      <c r="B22" s="16" t="s">
        <v>79</v>
      </c>
      <c r="C22" s="19">
        <f>4910</f>
        <v>4910</v>
      </c>
      <c r="D22" s="19">
        <f>149.5+500+1000+250</f>
        <v>1899.5</v>
      </c>
      <c r="E22" s="19">
        <f>3300+120+240+600+110+360+110+36</f>
        <v>4876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f>10922.88</f>
        <v>10922.88</v>
      </c>
      <c r="Q22" s="19"/>
      <c r="R22" s="19"/>
      <c r="S22" s="19"/>
      <c r="T22" s="19"/>
      <c r="U22" s="19"/>
      <c r="V22" s="19">
        <f>13212+16148+1101+10254.64+8390.16+699.18+13212+1101+16148</f>
        <v>80265.98</v>
      </c>
      <c r="W22" s="14" t="s">
        <v>34</v>
      </c>
      <c r="X22" s="19"/>
      <c r="Y22" s="19"/>
      <c r="Z22" s="19"/>
    </row>
    <row r="23" ht="14.25" customHeight="1">
      <c r="A23" s="35" t="s">
        <v>113</v>
      </c>
      <c r="B23" s="10" t="s">
        <v>79</v>
      </c>
      <c r="C23" s="19">
        <v>294.6</v>
      </c>
      <c r="D23" s="19">
        <f>49.5+24.5+5+200+119999.5+7500+150</f>
        <v>127928.5</v>
      </c>
      <c r="E23" s="19">
        <f>240+240+200+110+220+550</f>
        <v>1560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f>39550</f>
        <v>39550</v>
      </c>
      <c r="W23" s="26" t="s">
        <v>54</v>
      </c>
      <c r="X23" s="19"/>
      <c r="Y23" s="19"/>
      <c r="Z23" s="19"/>
    </row>
    <row r="24" ht="14.25" customHeight="1">
      <c r="A24" s="35" t="s">
        <v>114</v>
      </c>
      <c r="B24" s="10" t="s">
        <v>79</v>
      </c>
      <c r="C24" s="19">
        <f>2946+4502.47</f>
        <v>7448.47</v>
      </c>
      <c r="D24" s="19">
        <f>499.5+199.5+0.5+10.5+99.5+176+500</f>
        <v>1485.5</v>
      </c>
      <c r="E24" s="19">
        <f>240+5.5+50+24+240+220+1200+220+240+1100+240+600+240+500+200+6+200+200+100</f>
        <v>5825.5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>
        <f>600</f>
        <v>600</v>
      </c>
      <c r="W24" s="26" t="s">
        <v>47</v>
      </c>
      <c r="X24" s="19"/>
      <c r="Y24" s="19"/>
      <c r="Z24" s="19"/>
    </row>
    <row r="25" ht="14.25" customHeight="1">
      <c r="A25" s="35" t="s">
        <v>115</v>
      </c>
      <c r="B25" s="10"/>
      <c r="C25" s="19"/>
      <c r="D25" s="19">
        <f>499.5+9.5+39.5+400</f>
        <v>948.5</v>
      </c>
      <c r="E25" s="19">
        <f>4.4+240+3.3+60+120+220+1000+12+600+500+550+240+1200+110+200+2200+240</f>
        <v>7499.7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f>8000</f>
        <v>8000</v>
      </c>
      <c r="W25" s="36" t="s">
        <v>116</v>
      </c>
      <c r="X25" s="19"/>
      <c r="Y25" s="19"/>
      <c r="Z25" s="19"/>
    </row>
    <row r="26" ht="14.25" customHeight="1">
      <c r="A26" s="35" t="s">
        <v>117</v>
      </c>
      <c r="B26" s="10" t="s">
        <v>79</v>
      </c>
      <c r="C26" s="19"/>
      <c r="D26" s="19">
        <f>77</f>
        <v>77</v>
      </c>
      <c r="E26" s="19">
        <f>240+1200+5.5+120+6+50+240+360</f>
        <v>2221.5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f>45500</f>
        <v>45500</v>
      </c>
      <c r="W26" s="14" t="s">
        <v>118</v>
      </c>
      <c r="X26" s="19"/>
      <c r="Y26" s="19"/>
      <c r="Z26" s="19"/>
    </row>
    <row r="27" ht="14.25" customHeight="1">
      <c r="A27" s="35" t="s">
        <v>119</v>
      </c>
      <c r="B27" s="10" t="s">
        <v>79</v>
      </c>
      <c r="C27" s="19">
        <f>260.23</f>
        <v>260.23</v>
      </c>
      <c r="D27" s="19">
        <f>0.5+0.5+0.5+750+200+97</f>
        <v>1048.5</v>
      </c>
      <c r="E27" s="19">
        <f>240+12+120+300+540+120+550+240+60+100</f>
        <v>2282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f>50000</f>
        <v>50000</v>
      </c>
      <c r="W27" s="14" t="s">
        <v>120</v>
      </c>
      <c r="X27" s="19"/>
      <c r="Y27" s="19"/>
      <c r="Z27" s="19"/>
    </row>
    <row r="28" ht="14.25" customHeight="1">
      <c r="A28" s="35" t="s">
        <v>121</v>
      </c>
      <c r="B28" s="10" t="s">
        <v>122</v>
      </c>
      <c r="C28" s="19">
        <f>26520</f>
        <v>26520</v>
      </c>
      <c r="D28" s="19">
        <f>1600+9.5+1000+39.5+5600</f>
        <v>8249</v>
      </c>
      <c r="E28" s="19">
        <f>408+120+360+36+6000+6000+220+3.3+36+50+50+600</f>
        <v>13883.3</v>
      </c>
      <c r="F28" s="19"/>
      <c r="G28" s="19"/>
      <c r="H28" s="19"/>
      <c r="I28" s="19"/>
      <c r="J28" s="19"/>
      <c r="K28" s="19"/>
      <c r="L28" s="19"/>
      <c r="M28" s="19">
        <f>45320</f>
        <v>45320</v>
      </c>
      <c r="N28" s="19">
        <f>280</f>
        <v>280</v>
      </c>
      <c r="O28" s="19"/>
      <c r="P28" s="19"/>
      <c r="Q28" s="19"/>
      <c r="R28" s="19"/>
      <c r="S28" s="19"/>
      <c r="T28" s="19"/>
      <c r="U28" s="19"/>
      <c r="V28" s="19">
        <f>12221</f>
        <v>12221</v>
      </c>
      <c r="W28" s="14" t="s">
        <v>123</v>
      </c>
      <c r="X28" s="19"/>
      <c r="Y28" s="19"/>
      <c r="Z28" s="19"/>
    </row>
    <row r="29" ht="14.25" customHeight="1">
      <c r="A29" s="35" t="s">
        <v>124</v>
      </c>
      <c r="B29" s="10" t="s">
        <v>26</v>
      </c>
      <c r="C29" s="27">
        <v>921.16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5636</f>
        <v>5636</v>
      </c>
      <c r="W29" s="26" t="s">
        <v>74</v>
      </c>
      <c r="X29" s="19"/>
      <c r="Y29" s="19"/>
      <c r="Z29" s="19"/>
    </row>
    <row r="30" ht="14.25" customHeight="1">
      <c r="A30" s="35" t="s">
        <v>124</v>
      </c>
      <c r="B30" s="10" t="s">
        <v>125</v>
      </c>
      <c r="C30" s="27">
        <v>365686.0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0"/>
      <c r="X30" s="19"/>
      <c r="Y30" s="19"/>
      <c r="Z30" s="19"/>
    </row>
    <row r="31" ht="14.25" customHeight="1">
      <c r="A31" s="35" t="s">
        <v>124</v>
      </c>
      <c r="B31" s="10" t="s">
        <v>79</v>
      </c>
      <c r="C31" s="19">
        <v>982.0</v>
      </c>
      <c r="D31" s="19">
        <f>4.5+20940.99+1328+500+10000+20000</f>
        <v>52773.49</v>
      </c>
      <c r="E31" s="19">
        <f>600+120+30+220+240+200+550+60+3.3+36+1000</f>
        <v>3059.3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0"/>
      <c r="X31" s="19"/>
      <c r="Y31" s="19"/>
      <c r="Z31" s="19"/>
    </row>
    <row r="32" ht="14.25" customHeight="1">
      <c r="A32" s="35" t="s">
        <v>126</v>
      </c>
      <c r="B32" s="10" t="s">
        <v>79</v>
      </c>
      <c r="C32" s="19">
        <f>98.2</f>
        <v>98.2</v>
      </c>
      <c r="D32" s="19">
        <f>0.5+299.5+200+50+100+100+9200</f>
        <v>9950</v>
      </c>
      <c r="E32" s="19">
        <f>600+240+240+1100+1100+6+220+77</f>
        <v>3583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0"/>
      <c r="X32" s="19"/>
      <c r="Y32" s="19"/>
      <c r="Z32" s="19"/>
    </row>
    <row r="33" ht="14.25" customHeight="1">
      <c r="A33" s="35" t="s">
        <v>127</v>
      </c>
      <c r="B33" s="10"/>
      <c r="C33" s="19"/>
      <c r="D33" s="19">
        <f>209.5+0.5+0.5+3700+200+250</f>
        <v>4360.5</v>
      </c>
      <c r="E33" s="19">
        <f>440+8+5+200+500+1100+200+750+550+2400+60</f>
        <v>6213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0"/>
      <c r="X33" s="19"/>
      <c r="Y33" s="19"/>
      <c r="Z33" s="19"/>
    </row>
    <row r="34" ht="14.25" customHeight="1">
      <c r="A34" s="35" t="s">
        <v>128</v>
      </c>
      <c r="B34" s="10"/>
      <c r="C34" s="19"/>
      <c r="D34" s="19">
        <f>9.5+100+300</f>
        <v>409.5</v>
      </c>
      <c r="E34" s="19">
        <f>2+200+60+240+6+1100+24+50+600+36</f>
        <v>2318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0"/>
      <c r="X34" s="19"/>
      <c r="Y34" s="19"/>
      <c r="Z34" s="19"/>
    </row>
    <row r="35" ht="14.25" customHeight="1">
      <c r="A35" s="35" t="s">
        <v>129</v>
      </c>
      <c r="B35" s="19" t="s">
        <v>130</v>
      </c>
      <c r="C35" s="19">
        <v>500.0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X35" s="19"/>
      <c r="Y35" s="19"/>
      <c r="Z35" s="19"/>
    </row>
    <row r="36" ht="14.25" customHeight="1">
      <c r="A36" s="35" t="s">
        <v>129</v>
      </c>
      <c r="B36" s="19" t="s">
        <v>79</v>
      </c>
      <c r="C36" s="19">
        <f>5401</f>
        <v>5401</v>
      </c>
      <c r="D36" s="19">
        <f>0.5+0.5+9.5+50</f>
        <v>60.5</v>
      </c>
      <c r="E36" s="19">
        <f>600+7.2+5800+43+240+18+500</f>
        <v>7208.2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X36" s="19"/>
      <c r="Y36" s="19"/>
      <c r="Z36" s="19"/>
    </row>
    <row r="37" ht="14.25" customHeight="1">
      <c r="A37" s="35" t="s">
        <v>131</v>
      </c>
      <c r="B37" s="10"/>
      <c r="C37" s="19"/>
      <c r="D37" s="19">
        <f>99.5+0.5+99.5+0.5+0.5+49.5+16630</f>
        <v>16880</v>
      </c>
      <c r="E37" s="19">
        <f>600+240+600</f>
        <v>1440</v>
      </c>
      <c r="F37" s="19"/>
      <c r="G37" s="19"/>
      <c r="H37" s="19">
        <f>533500</f>
        <v>533500</v>
      </c>
      <c r="I37" s="19"/>
      <c r="J37" s="19"/>
      <c r="K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35" t="s">
        <v>132</v>
      </c>
      <c r="B38" s="19" t="s">
        <v>79</v>
      </c>
      <c r="C38" s="19">
        <f>1964</f>
        <v>1964</v>
      </c>
      <c r="D38" s="19">
        <f>199.5+3500+1000+50</f>
        <v>4749.5</v>
      </c>
      <c r="E38" s="19">
        <f>120+600+240+100+100+200+600</f>
        <v>1960</v>
      </c>
      <c r="F38" s="19"/>
      <c r="G38" s="19"/>
      <c r="H38" s="9">
        <f>294940</f>
        <v>294940</v>
      </c>
      <c r="I38" s="19"/>
      <c r="J38" s="19"/>
      <c r="K38" s="19"/>
      <c r="M38" s="19">
        <f>1740+38900+20919+30360</f>
        <v>91919</v>
      </c>
      <c r="N38" s="19"/>
      <c r="O38" s="19"/>
      <c r="P38" s="19"/>
      <c r="Q38" s="19"/>
      <c r="R38" s="19"/>
      <c r="S38" s="19"/>
      <c r="T38" s="19"/>
      <c r="U38" s="19"/>
      <c r="V38" s="19"/>
      <c r="X38" s="19"/>
      <c r="Y38" s="19"/>
      <c r="Z38" s="19"/>
    </row>
    <row r="39" ht="14.25" customHeight="1">
      <c r="A39" s="35" t="s">
        <v>133</v>
      </c>
      <c r="B39" s="10"/>
      <c r="C39" s="19"/>
      <c r="D39" s="19">
        <f>499.5+0.5+9.5+300+10000</f>
        <v>10809.5</v>
      </c>
      <c r="E39" s="19">
        <f>240+60+1200+60+240+6+1200+3600+600+36+240</f>
        <v>7482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X39" s="19"/>
      <c r="Y39" s="19"/>
      <c r="Z39" s="19"/>
    </row>
    <row r="40" ht="14.25" customHeight="1">
      <c r="A40" s="35" t="s">
        <v>134</v>
      </c>
      <c r="B40" s="19" t="s">
        <v>49</v>
      </c>
      <c r="C40" s="19">
        <v>4500.0</v>
      </c>
      <c r="D40" s="19">
        <f>0.5+0.5+4.5+3500+750</f>
        <v>4255.5</v>
      </c>
      <c r="E40" s="19">
        <f>220+20+1200+120+12</f>
        <v>1572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X40" s="19"/>
      <c r="Y40" s="19"/>
      <c r="Z40" s="19"/>
    </row>
    <row r="41" ht="14.25" customHeight="1">
      <c r="A41" s="35" t="s">
        <v>135</v>
      </c>
      <c r="B41" s="19"/>
      <c r="C41" s="19"/>
      <c r="D41" s="19">
        <f>2000</f>
        <v>2000</v>
      </c>
      <c r="E41" s="19">
        <f>12+360</f>
        <v>372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X41" s="19"/>
      <c r="Y41" s="19"/>
      <c r="Z41" s="19"/>
    </row>
    <row r="42" ht="14.25" customHeight="1">
      <c r="A42" s="35" t="s">
        <v>136</v>
      </c>
      <c r="B42" s="10"/>
      <c r="C42" s="19"/>
      <c r="D42" s="19">
        <f>5999.5</f>
        <v>5999.5</v>
      </c>
      <c r="E42" s="19">
        <f>600+36+50</f>
        <v>686</v>
      </c>
      <c r="F42" s="19"/>
      <c r="G42" s="19">
        <v>19.73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</row>
    <row r="43" ht="14.25" customHeight="1">
      <c r="A43" s="35"/>
      <c r="B43" s="1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4.25" customHeight="1">
      <c r="A44" s="35"/>
    </row>
    <row r="45" ht="14.25" customHeight="1">
      <c r="A45" s="37" t="s">
        <v>50</v>
      </c>
      <c r="B45" s="24"/>
      <c r="C45" s="24">
        <f t="shared" ref="C45:V45" si="1">SUM(C3:C44)</f>
        <v>651861.29</v>
      </c>
      <c r="D45" s="24">
        <f t="shared" si="1"/>
        <v>501683.34</v>
      </c>
      <c r="E45" s="24">
        <f t="shared" si="1"/>
        <v>112232.1</v>
      </c>
      <c r="F45" s="24">
        <f t="shared" si="1"/>
        <v>0</v>
      </c>
      <c r="G45" s="24">
        <f t="shared" si="1"/>
        <v>19.73</v>
      </c>
      <c r="H45" s="24">
        <f t="shared" si="1"/>
        <v>828440</v>
      </c>
      <c r="I45" s="24">
        <f t="shared" si="1"/>
        <v>0</v>
      </c>
      <c r="J45" s="24">
        <f t="shared" si="1"/>
        <v>0</v>
      </c>
      <c r="K45" s="24">
        <f t="shared" si="1"/>
        <v>0</v>
      </c>
      <c r="L45" s="24">
        <f t="shared" si="1"/>
        <v>0</v>
      </c>
      <c r="M45" s="24">
        <f t="shared" si="1"/>
        <v>1891833.74</v>
      </c>
      <c r="N45" s="24">
        <f t="shared" si="1"/>
        <v>280</v>
      </c>
      <c r="O45" s="24">
        <f t="shared" si="1"/>
        <v>0</v>
      </c>
      <c r="P45" s="24">
        <f t="shared" si="1"/>
        <v>10922.88</v>
      </c>
      <c r="Q45" s="24">
        <f t="shared" si="1"/>
        <v>0</v>
      </c>
      <c r="R45" s="24">
        <f t="shared" si="1"/>
        <v>0</v>
      </c>
      <c r="S45" s="24">
        <f t="shared" si="1"/>
        <v>0</v>
      </c>
      <c r="T45" s="24">
        <f t="shared" si="1"/>
        <v>0</v>
      </c>
      <c r="U45" s="24">
        <f t="shared" si="1"/>
        <v>0</v>
      </c>
      <c r="V45" s="24">
        <f t="shared" si="1"/>
        <v>614001.74</v>
      </c>
      <c r="W45" s="25"/>
      <c r="X45" s="25"/>
      <c r="Y45" s="25"/>
      <c r="Z45" s="25"/>
    </row>
    <row r="46" ht="14.25" customHeight="1">
      <c r="A46" s="38"/>
    </row>
    <row r="47" ht="14.25" customHeight="1">
      <c r="A47" s="38"/>
    </row>
    <row r="48" ht="14.25" customHeight="1">
      <c r="A48" s="38"/>
    </row>
    <row r="49" ht="14.25" customHeight="1">
      <c r="A49" s="38"/>
    </row>
    <row r="50" ht="14.25" customHeight="1">
      <c r="A50" s="38"/>
    </row>
    <row r="51" ht="14.25" customHeight="1">
      <c r="A51" s="38"/>
    </row>
    <row r="52" ht="14.25" customHeight="1">
      <c r="A52" s="38"/>
    </row>
    <row r="53" ht="14.25" customHeight="1">
      <c r="A53" s="38"/>
    </row>
    <row r="54" ht="14.25" customHeight="1">
      <c r="A54" s="38"/>
    </row>
    <row r="55" ht="14.25" customHeight="1">
      <c r="A55" s="38"/>
    </row>
    <row r="56" ht="14.25" customHeight="1">
      <c r="A56" s="38"/>
    </row>
    <row r="57" ht="14.25" customHeight="1">
      <c r="A57" s="38"/>
    </row>
    <row r="58" ht="14.25" customHeight="1">
      <c r="A58" s="38"/>
    </row>
    <row r="59" ht="14.25" customHeight="1">
      <c r="A59" s="38"/>
    </row>
    <row r="60" ht="14.25" customHeight="1">
      <c r="A60" s="38"/>
    </row>
    <row r="61" ht="14.25" customHeight="1">
      <c r="A61" s="38"/>
    </row>
    <row r="62" ht="14.25" customHeight="1">
      <c r="A62" s="38"/>
    </row>
    <row r="63" ht="14.25" customHeight="1">
      <c r="A63" s="38"/>
    </row>
    <row r="64" ht="14.25" customHeight="1">
      <c r="A64" s="38"/>
    </row>
    <row r="65" ht="14.25" customHeight="1">
      <c r="A65" s="38"/>
    </row>
    <row r="66" ht="14.25" customHeight="1">
      <c r="A66" s="38"/>
    </row>
    <row r="67" ht="14.25" customHeight="1">
      <c r="A67" s="38"/>
    </row>
    <row r="68" ht="14.25" customHeight="1">
      <c r="A68" s="38"/>
    </row>
    <row r="69" ht="14.25" customHeight="1">
      <c r="A69" s="38"/>
    </row>
    <row r="70" ht="14.25" customHeight="1">
      <c r="A70" s="38"/>
    </row>
    <row r="71" ht="14.25" customHeight="1">
      <c r="A71" s="38"/>
    </row>
    <row r="72" ht="14.25" customHeight="1">
      <c r="A72" s="38"/>
    </row>
    <row r="73" ht="14.25" customHeight="1">
      <c r="A73" s="38"/>
    </row>
    <row r="74" ht="14.25" customHeight="1">
      <c r="A74" s="38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5.75" customHeight="1">
      <c r="A246" s="38"/>
    </row>
    <row r="247" ht="15.75" customHeight="1">
      <c r="A247" s="38"/>
    </row>
    <row r="248" ht="15.75" customHeight="1">
      <c r="A248" s="38"/>
    </row>
    <row r="249" ht="15.75" customHeight="1">
      <c r="A249" s="38"/>
    </row>
    <row r="250" ht="15.75" customHeight="1">
      <c r="A250" s="38"/>
    </row>
    <row r="251" ht="15.75" customHeight="1">
      <c r="A251" s="38"/>
    </row>
    <row r="252" ht="15.75" customHeight="1">
      <c r="A252" s="38"/>
    </row>
    <row r="253" ht="15.75" customHeight="1">
      <c r="A253" s="38"/>
    </row>
    <row r="254" ht="15.75" customHeight="1">
      <c r="A254" s="38"/>
    </row>
    <row r="255" ht="15.75" customHeight="1">
      <c r="A255" s="38"/>
    </row>
    <row r="256" ht="15.75" customHeight="1">
      <c r="A256" s="38"/>
    </row>
    <row r="257" ht="15.75" customHeight="1">
      <c r="A257" s="38"/>
    </row>
    <row r="258" ht="15.75" customHeight="1">
      <c r="A258" s="38"/>
    </row>
    <row r="259" ht="15.75" customHeight="1">
      <c r="A259" s="38"/>
    </row>
    <row r="260" ht="15.75" customHeight="1">
      <c r="A260" s="38"/>
    </row>
    <row r="261" ht="15.75" customHeight="1">
      <c r="A261" s="38"/>
    </row>
    <row r="262" ht="15.75" customHeight="1">
      <c r="A262" s="38"/>
    </row>
    <row r="263" ht="15.75" customHeight="1">
      <c r="A263" s="38"/>
    </row>
    <row r="264" ht="15.75" customHeight="1">
      <c r="A264" s="38"/>
    </row>
    <row r="265" ht="15.75" customHeight="1">
      <c r="A265" s="38"/>
    </row>
    <row r="266" ht="15.7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6.57"/>
    <col customWidth="1" min="11" max="11" width="6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45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99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138</v>
      </c>
      <c r="P2" s="2" t="s">
        <v>100</v>
      </c>
      <c r="Q2" s="2" t="s">
        <v>139</v>
      </c>
      <c r="R2" s="2" t="s">
        <v>140</v>
      </c>
      <c r="S2" s="2" t="s">
        <v>141</v>
      </c>
      <c r="T2" s="2" t="s">
        <v>142</v>
      </c>
      <c r="U2" s="2" t="s">
        <v>143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f>3+3+3+3+3+218.36+3+3+3+3+3+3+3+3+3+3+3+3+3+3+3+3+3+3+3+3+3+3+3+3+3+3+3+3+3+3+3+3+3+3+3+3+3+3+3+3+3+3+3+3+3+3+3+3+3+3+3+3+3+3+3</f>
        <v>398.36</v>
      </c>
      <c r="W3" s="10" t="s">
        <v>24</v>
      </c>
      <c r="X3" s="19"/>
      <c r="Y3" s="19"/>
      <c r="Z3" s="19"/>
    </row>
    <row r="4" ht="14.25" customHeight="1">
      <c r="A4" s="34">
        <v>44931.0</v>
      </c>
      <c r="B4" s="10" t="s">
        <v>26</v>
      </c>
      <c r="C4" s="39">
        <v>6056.13</v>
      </c>
      <c r="D4" s="19">
        <f>49.5+0.5+1500+300+50+100+1000</f>
        <v>3000</v>
      </c>
      <c r="E4" s="19">
        <f>100+100+33+600+1200+5000</f>
        <v>7033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25350+34400</f>
        <v>59750</v>
      </c>
      <c r="W4" s="26" t="s">
        <v>71</v>
      </c>
      <c r="X4" s="19"/>
      <c r="Y4" s="19"/>
      <c r="Z4" s="19"/>
    </row>
    <row r="5" ht="14.25" customHeight="1">
      <c r="A5" s="34">
        <v>44962.0</v>
      </c>
      <c r="B5" s="9" t="s">
        <v>83</v>
      </c>
      <c r="C5" s="19">
        <v>500.0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90+1300</f>
        <v>1390</v>
      </c>
      <c r="W5" s="26" t="s">
        <v>29</v>
      </c>
      <c r="X5" s="19"/>
      <c r="Y5" s="19"/>
      <c r="Z5" s="19"/>
    </row>
    <row r="6" ht="14.25" customHeight="1">
      <c r="A6" s="34">
        <v>44962.0</v>
      </c>
      <c r="B6" s="9" t="s">
        <v>144</v>
      </c>
      <c r="C6" s="19">
        <v>25000.0</v>
      </c>
      <c r="D6" s="19">
        <f>500+999.5+1870+300+500+15466.29</f>
        <v>19635.79</v>
      </c>
      <c r="E6" s="19">
        <f>240+50+200+2291.67</f>
        <v>2781.67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5000+12500</f>
        <v>17500</v>
      </c>
      <c r="W6" s="14" t="s">
        <v>73</v>
      </c>
      <c r="X6" s="19"/>
      <c r="Y6" s="19"/>
      <c r="Z6" s="19"/>
    </row>
    <row r="7" ht="14.25" customHeight="1">
      <c r="A7" s="34">
        <v>44990.0</v>
      </c>
      <c r="B7" s="10" t="s">
        <v>79</v>
      </c>
      <c r="C7" s="9">
        <v>2946.0</v>
      </c>
      <c r="D7" s="19">
        <f>999.5+199.5+0.5+0.5+2000+1000+1000+5000+5000+25000+3680.35</f>
        <v>43880.35</v>
      </c>
      <c r="E7" s="19">
        <f>550+360</f>
        <v>910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549+439</f>
        <v>988</v>
      </c>
      <c r="W7" s="14" t="s">
        <v>145</v>
      </c>
      <c r="X7" s="19"/>
      <c r="Y7" s="19"/>
      <c r="Z7" s="19"/>
    </row>
    <row r="8" ht="14.25" customHeight="1">
      <c r="A8" s="34">
        <v>45021.0</v>
      </c>
      <c r="B8" s="16"/>
      <c r="C8" s="19"/>
      <c r="D8" s="19">
        <f>9.5+0.5+9.5</f>
        <v>19.5</v>
      </c>
      <c r="E8" s="19">
        <f>120+1.2+600+150+150</f>
        <v>1021.2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2000+2520+440</f>
        <v>4960</v>
      </c>
      <c r="W8" s="14" t="s">
        <v>102</v>
      </c>
      <c r="X8" s="19"/>
      <c r="Y8" s="19"/>
      <c r="Z8" s="19"/>
    </row>
    <row r="9" ht="14.25" customHeight="1">
      <c r="A9" s="34">
        <v>45051.0</v>
      </c>
      <c r="B9" s="10" t="s">
        <v>146</v>
      </c>
      <c r="C9" s="27">
        <v>1331.83</v>
      </c>
      <c r="D9" s="19">
        <f>0.5+43474.73</f>
        <v>43475.23</v>
      </c>
      <c r="E9" s="19">
        <f>550+5.5+960</f>
        <v>1515.5</v>
      </c>
      <c r="F9" s="19"/>
      <c r="G9" s="19"/>
      <c r="H9" s="19"/>
      <c r="I9" s="19">
        <f>26400</f>
        <v>26400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f>3000+700</f>
        <v>3700</v>
      </c>
      <c r="W9" s="14" t="s">
        <v>45</v>
      </c>
      <c r="X9" s="19"/>
      <c r="Y9" s="19"/>
      <c r="Z9" s="19"/>
    </row>
    <row r="10" ht="14.25" customHeight="1">
      <c r="A10" s="34">
        <v>45082.0</v>
      </c>
      <c r="C10" s="19"/>
      <c r="D10" s="19">
        <f>9.5+10.5+1000+2794.43</f>
        <v>3814.43</v>
      </c>
      <c r="E10" s="19">
        <f>500</f>
        <v>500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>
        <f>715</f>
        <v>715</v>
      </c>
      <c r="W10" s="14" t="s">
        <v>36</v>
      </c>
      <c r="X10" s="19"/>
      <c r="Y10" s="19"/>
      <c r="Z10" s="19"/>
    </row>
    <row r="11" ht="14.25" customHeight="1">
      <c r="A11" s="34">
        <v>45112.0</v>
      </c>
      <c r="B11" s="10"/>
      <c r="C11" s="19"/>
      <c r="D11" s="19">
        <f>9.5+721+2855.59</f>
        <v>3586.09</v>
      </c>
      <c r="E11" s="19">
        <f>1000</f>
        <v>1000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1853.93</f>
        <v>1853.93</v>
      </c>
      <c r="W11" s="26" t="s">
        <v>105</v>
      </c>
      <c r="X11" s="19"/>
      <c r="Y11" s="19"/>
      <c r="Z11" s="19"/>
    </row>
    <row r="12" ht="14.25" customHeight="1">
      <c r="A12" s="34">
        <v>45143.0</v>
      </c>
      <c r="C12" s="7"/>
      <c r="D12" s="19">
        <f>10.5</f>
        <v>10.5</v>
      </c>
      <c r="E12" s="19">
        <f>4693.26</f>
        <v>4693.26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>2145</f>
        <v>2145</v>
      </c>
      <c r="W12" s="26" t="s">
        <v>59</v>
      </c>
      <c r="X12" s="19"/>
      <c r="Y12" s="19"/>
      <c r="Z12" s="19"/>
    </row>
    <row r="13" ht="14.25" customHeight="1">
      <c r="A13" s="34">
        <v>45174.0</v>
      </c>
      <c r="C13" s="7"/>
      <c r="D13" s="19">
        <f>99.5+9.5+500+505+9.5</f>
        <v>1123.5</v>
      </c>
      <c r="E13" s="19">
        <f>1200+5500+200+500+600</f>
        <v>8000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6"/>
      <c r="X13" s="19"/>
      <c r="Y13" s="19"/>
      <c r="Z13" s="19"/>
    </row>
    <row r="14" ht="14.25" customHeight="1">
      <c r="A14" s="34">
        <v>45204.0</v>
      </c>
      <c r="B14" s="16"/>
      <c r="C14" s="19"/>
      <c r="D14" s="19">
        <f>1.5+1000+500+12.54+18+0.58+1.73</f>
        <v>1534.35</v>
      </c>
      <c r="E14" s="19">
        <f>2000</f>
        <v>2000</v>
      </c>
      <c r="F14" s="19"/>
      <c r="G14" s="19"/>
      <c r="H14" s="19">
        <f>803265.05</f>
        <v>803265.05</v>
      </c>
      <c r="I14" s="19"/>
      <c r="J14" s="19"/>
      <c r="K14" s="19"/>
      <c r="L14" s="19"/>
      <c r="M14" s="19">
        <f>17260</f>
        <v>17260</v>
      </c>
      <c r="N14" s="19"/>
      <c r="O14" s="19"/>
      <c r="P14" s="19"/>
      <c r="Q14" s="19"/>
      <c r="R14" s="19"/>
      <c r="S14" s="19"/>
      <c r="T14" s="19"/>
      <c r="U14" s="19"/>
      <c r="V14" s="19">
        <f>12500+9000+13500</f>
        <v>35000</v>
      </c>
      <c r="W14" s="26" t="s">
        <v>27</v>
      </c>
      <c r="X14" s="19"/>
      <c r="Y14" s="19"/>
      <c r="Z14" s="19"/>
    </row>
    <row r="15" ht="14.25" customHeight="1">
      <c r="A15" s="34">
        <v>45235.0</v>
      </c>
      <c r="B15" s="16"/>
      <c r="C15" s="19"/>
      <c r="D15" s="19">
        <f>600+7963.32</f>
        <v>8563.32</v>
      </c>
      <c r="E15" s="19">
        <f>1000+550+6000</f>
        <v>7550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4"/>
      <c r="X15" s="19"/>
      <c r="Y15" s="19"/>
      <c r="Z15" s="19"/>
    </row>
    <row r="16" ht="14.25" customHeight="1">
      <c r="A16" s="34">
        <v>45265.0</v>
      </c>
      <c r="C16" s="19"/>
      <c r="D16" s="19">
        <f>9.5+0.5+2000+2680.66</f>
        <v>4690.66</v>
      </c>
      <c r="E16" s="19">
        <f>220+120+1020+2500+10+750+600+600</f>
        <v>5820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f>26846</f>
        <v>26846</v>
      </c>
      <c r="W16" s="26" t="s">
        <v>66</v>
      </c>
      <c r="X16" s="19"/>
      <c r="Y16" s="19"/>
      <c r="Z16" s="19"/>
    </row>
    <row r="17" ht="14.25" customHeight="1">
      <c r="A17" s="35" t="s">
        <v>147</v>
      </c>
      <c r="B17" s="10"/>
      <c r="C17" s="19"/>
      <c r="D17" s="19">
        <f>149.5+3500+2000</f>
        <v>5649.5</v>
      </c>
      <c r="E17" s="19">
        <f>220+2997.5+220+10+10</f>
        <v>3457.5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4"/>
      <c r="X17" s="19"/>
      <c r="Y17" s="19"/>
      <c r="Z17" s="19"/>
    </row>
    <row r="18" ht="14.25" customHeight="1">
      <c r="A18" s="35" t="s">
        <v>148</v>
      </c>
      <c r="B18" s="10"/>
      <c r="C18" s="19"/>
      <c r="D18" s="19">
        <f>49.5+0.5+9999.5+39.5</f>
        <v>10089</v>
      </c>
      <c r="E18" s="19">
        <f>360+10</f>
        <v>370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f>2000</f>
        <v>2000</v>
      </c>
      <c r="W18" s="18" t="s">
        <v>108</v>
      </c>
      <c r="X18" s="19"/>
      <c r="Y18" s="19"/>
      <c r="Z18" s="19"/>
    </row>
    <row r="19" ht="14.25" customHeight="1">
      <c r="A19" s="35" t="s">
        <v>149</v>
      </c>
      <c r="B19" s="10" t="s">
        <v>79</v>
      </c>
      <c r="C19" s="19">
        <v>294.6</v>
      </c>
      <c r="D19" s="19">
        <f>100+0.5+199.5+120000+500+4000+100</f>
        <v>124900</v>
      </c>
      <c r="E19" s="19">
        <f>1400+2400+600</f>
        <v>4400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f>4900+4714</f>
        <v>9614</v>
      </c>
      <c r="W19" s="18" t="s">
        <v>109</v>
      </c>
      <c r="X19" s="19"/>
      <c r="Y19" s="19"/>
      <c r="Z19" s="19"/>
    </row>
    <row r="20" ht="14.25" customHeight="1">
      <c r="A20" s="35" t="s">
        <v>150</v>
      </c>
      <c r="C20" s="19"/>
      <c r="D20" s="19">
        <f>399.5+9.5</f>
        <v>409</v>
      </c>
      <c r="E20" s="19">
        <f>72+60+56+1100+600+1100+10</f>
        <v>2998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9016+20004.25+10022.25+10022.25+10022.25</f>
        <v>59087</v>
      </c>
      <c r="W20" s="14" t="s">
        <v>31</v>
      </c>
      <c r="X20" s="19"/>
      <c r="Y20" s="19"/>
      <c r="Z20" s="19"/>
    </row>
    <row r="21" ht="14.25" customHeight="1">
      <c r="A21" s="35" t="s">
        <v>151</v>
      </c>
      <c r="B21" s="16"/>
      <c r="C21" s="19"/>
      <c r="D21" s="19">
        <f>450+500+100+100</f>
        <v>1150</v>
      </c>
      <c r="E21" s="19">
        <f>500+600+10+1100</f>
        <v>2210</v>
      </c>
      <c r="F21" s="19"/>
      <c r="G21" s="19"/>
      <c r="H21" s="19">
        <f>10500</f>
        <v>10500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>
        <f>32190</f>
        <v>32190</v>
      </c>
      <c r="U21" s="19"/>
      <c r="V21" s="19">
        <f>21450+10022.25+10022.25+10022.25+20004.25+31193.75+10022.25+10022.25+9016+10022.25</f>
        <v>141797.5</v>
      </c>
      <c r="W21" s="10" t="s">
        <v>32</v>
      </c>
      <c r="X21" s="19"/>
      <c r="Y21" s="19"/>
      <c r="Z21" s="19"/>
    </row>
    <row r="22" ht="14.25" customHeight="1">
      <c r="A22" s="35" t="s">
        <v>152</v>
      </c>
      <c r="B22" s="10"/>
      <c r="C22" s="19"/>
      <c r="D22" s="19">
        <f>800+0.5+0.5+0.5+100+500</f>
        <v>1401.5</v>
      </c>
      <c r="E22" s="19">
        <f>220+300</f>
        <v>520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f>17100+12100</f>
        <v>29200</v>
      </c>
      <c r="W22" s="26" t="s">
        <v>90</v>
      </c>
      <c r="X22" s="19"/>
      <c r="Y22" s="19"/>
      <c r="Z22" s="19"/>
    </row>
    <row r="23" ht="14.25" customHeight="1">
      <c r="A23" s="35" t="s">
        <v>153</v>
      </c>
      <c r="B23" s="10" t="s">
        <v>70</v>
      </c>
      <c r="C23" s="27">
        <v>6.033819E7</v>
      </c>
      <c r="D23" s="19">
        <f>9.5+40599.5+40600+1000+2000</f>
        <v>84209</v>
      </c>
      <c r="E23" s="19">
        <f>5.5+50+240+36+6+600+240+120</f>
        <v>1297.5</v>
      </c>
      <c r="F23" s="19"/>
      <c r="G23" s="19"/>
      <c r="H23" s="19"/>
      <c r="I23" s="19">
        <f>223626</f>
        <v>223626</v>
      </c>
      <c r="J23" s="19"/>
      <c r="K23" s="19"/>
      <c r="L23" s="19"/>
      <c r="M23" s="19">
        <f>37180+13675+48075+21070+21300</f>
        <v>141300</v>
      </c>
      <c r="N23" s="19"/>
      <c r="O23" s="19"/>
      <c r="P23" s="19"/>
      <c r="Q23" s="19"/>
      <c r="R23" s="19"/>
      <c r="S23" s="19">
        <f>113000</f>
        <v>113000</v>
      </c>
      <c r="T23" s="19"/>
      <c r="U23" s="19"/>
      <c r="V23" s="19">
        <f>13212+1101+16148+1101+13212+16148+8525+581.25+6975</f>
        <v>77003.25</v>
      </c>
      <c r="W23" s="14" t="s">
        <v>34</v>
      </c>
      <c r="X23" s="19"/>
      <c r="Y23" s="19"/>
      <c r="Z23" s="19"/>
    </row>
    <row r="24" ht="14.25" customHeight="1">
      <c r="A24" s="35" t="s">
        <v>154</v>
      </c>
      <c r="B24" s="10"/>
      <c r="C24" s="19"/>
      <c r="D24" s="19">
        <f>4.5+700</f>
        <v>704.5</v>
      </c>
      <c r="E24" s="19">
        <f>120+440+240+200.4</f>
        <v>1000.4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>
        <f>39900</f>
        <v>39900</v>
      </c>
      <c r="W24" s="26" t="s">
        <v>54</v>
      </c>
      <c r="X24" s="19"/>
      <c r="Y24" s="19"/>
      <c r="Z24" s="19"/>
    </row>
    <row r="25" ht="14.25" customHeight="1">
      <c r="A25" s="35" t="s">
        <v>155</v>
      </c>
      <c r="B25" s="10"/>
      <c r="C25" s="19"/>
      <c r="D25" s="19">
        <f>0.5+3999.5+40</f>
        <v>4040</v>
      </c>
      <c r="E25" s="19">
        <f>6+10+5.5</f>
        <v>21.5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f>600</f>
        <v>600</v>
      </c>
      <c r="W25" s="26" t="s">
        <v>47</v>
      </c>
      <c r="X25" s="19"/>
      <c r="Y25" s="19"/>
      <c r="Z25" s="19"/>
    </row>
    <row r="26" ht="14.25" customHeight="1">
      <c r="A26" s="35" t="s">
        <v>156</v>
      </c>
      <c r="B26" s="10" t="s">
        <v>79</v>
      </c>
      <c r="C26" s="19">
        <v>1080.2</v>
      </c>
      <c r="D26" s="19">
        <f>24.5+0.5+500</f>
        <v>525</v>
      </c>
      <c r="E26" s="19">
        <f>6+7+6000+2247.19+200+6+50+60</f>
        <v>8576.19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>3490+6880+88140</f>
        <v>98510</v>
      </c>
      <c r="T26" s="19"/>
      <c r="U26" s="19"/>
      <c r="V26" s="19">
        <f>1882.36</f>
        <v>1882.36</v>
      </c>
      <c r="W26" s="36" t="s">
        <v>157</v>
      </c>
      <c r="X26" s="19"/>
      <c r="Y26" s="19"/>
      <c r="Z26" s="19"/>
    </row>
    <row r="27" ht="14.25" customHeight="1">
      <c r="A27" s="35" t="s">
        <v>158</v>
      </c>
      <c r="B27" s="10" t="s">
        <v>159</v>
      </c>
      <c r="C27" s="19">
        <f>111024.4</f>
        <v>111024.4</v>
      </c>
      <c r="D27" s="19">
        <f>22.58+1000+5000+40000</f>
        <v>46022.58</v>
      </c>
      <c r="E27" s="19">
        <f>600+240+1.2+1100</f>
        <v>1941.2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>
        <f>80000</f>
        <v>80000</v>
      </c>
      <c r="R27" s="19"/>
      <c r="S27" s="19">
        <f>3490+3570+4926+5185+6880+7030</f>
        <v>31081</v>
      </c>
      <c r="T27" s="19"/>
      <c r="U27" s="19"/>
      <c r="V27" s="19"/>
      <c r="W27" s="14"/>
      <c r="X27" s="19"/>
      <c r="Y27" s="19"/>
      <c r="Z27" s="19"/>
    </row>
    <row r="28" ht="14.25" customHeight="1">
      <c r="A28" s="35" t="s">
        <v>160</v>
      </c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f>10000</f>
        <v>10000</v>
      </c>
      <c r="W28" s="14" t="s">
        <v>161</v>
      </c>
      <c r="X28" s="19"/>
      <c r="Y28" s="19"/>
      <c r="Z28" s="19"/>
    </row>
    <row r="29" ht="14.25" customHeight="1">
      <c r="A29" s="35" t="s">
        <v>160</v>
      </c>
      <c r="B29" s="10" t="s">
        <v>88</v>
      </c>
      <c r="C29" s="19">
        <v>20000.0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10125</f>
        <v>10125</v>
      </c>
      <c r="W29" s="14" t="s">
        <v>123</v>
      </c>
      <c r="X29" s="19"/>
      <c r="Y29" s="19"/>
      <c r="Z29" s="19"/>
    </row>
    <row r="30" ht="14.25" customHeight="1">
      <c r="A30" s="35" t="s">
        <v>160</v>
      </c>
      <c r="B30" s="10" t="s">
        <v>162</v>
      </c>
      <c r="C30" s="19">
        <f>9500</f>
        <v>9500</v>
      </c>
      <c r="D30" s="19">
        <f>0.5+0.5+22500+1000+5000+100+1500+3000</f>
        <v>33101</v>
      </c>
      <c r="E30" s="19">
        <f>240</f>
        <v>240</v>
      </c>
      <c r="F30" s="19"/>
      <c r="G30" s="19"/>
      <c r="H30" s="19"/>
      <c r="I30" s="19"/>
      <c r="J30" s="19"/>
      <c r="K30" s="19"/>
      <c r="L30" s="19"/>
      <c r="M30" s="19">
        <f>23750+16840</f>
        <v>40590</v>
      </c>
      <c r="N30" s="19"/>
      <c r="O30" s="19"/>
      <c r="P30" s="19"/>
      <c r="Q30" s="19"/>
      <c r="R30" s="19"/>
      <c r="S30" s="19"/>
      <c r="T30" s="19"/>
      <c r="U30" s="19"/>
      <c r="V30" s="19">
        <f>5760+5120</f>
        <v>10880</v>
      </c>
      <c r="W30" s="26" t="s">
        <v>74</v>
      </c>
      <c r="X30" s="19"/>
      <c r="Y30" s="19"/>
      <c r="Z30" s="19"/>
    </row>
    <row r="31" ht="14.25" customHeight="1">
      <c r="A31" s="35" t="s">
        <v>163</v>
      </c>
      <c r="B31" s="10" t="s">
        <v>164</v>
      </c>
      <c r="C31" s="27">
        <v>275870.0</v>
      </c>
      <c r="D31" s="19">
        <f>0.5+0.5+0.5+0.5+99.5+99.5+7340+2000+49.5+10000</f>
        <v>19590.5</v>
      </c>
      <c r="E31" s="19">
        <f>15+1600+2400+240</f>
        <v>4255</v>
      </c>
      <c r="F31" s="19"/>
      <c r="G31" s="19"/>
      <c r="H31" s="19"/>
      <c r="I31" s="19"/>
      <c r="J31" s="19"/>
      <c r="K31" s="19"/>
      <c r="L31" s="19"/>
      <c r="M31" s="19">
        <f>24675+19149.9</f>
        <v>43824.9</v>
      </c>
      <c r="N31" s="19"/>
      <c r="O31" s="19">
        <f>38416</f>
        <v>38416</v>
      </c>
      <c r="P31" s="19"/>
      <c r="Q31" s="19"/>
      <c r="R31" s="19"/>
      <c r="S31" s="19"/>
      <c r="T31" s="19"/>
      <c r="U31" s="19"/>
      <c r="V31" s="19">
        <f>510.07+1580.2</f>
        <v>2090.27</v>
      </c>
      <c r="W31" s="14" t="s">
        <v>165</v>
      </c>
      <c r="X31" s="19"/>
      <c r="Y31" s="19"/>
      <c r="Z31" s="19"/>
    </row>
    <row r="32" ht="14.25" customHeight="1">
      <c r="A32" s="35" t="s">
        <v>166</v>
      </c>
      <c r="B32" s="10" t="s">
        <v>79</v>
      </c>
      <c r="C32" s="19">
        <v>982.0</v>
      </c>
      <c r="D32" s="19">
        <f>199.5+499.5+335+2000</f>
        <v>3034</v>
      </c>
      <c r="E32" s="19">
        <f>600+6.6+5.5+2400+50</f>
        <v>3062.1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>1145+11715</f>
        <v>12860</v>
      </c>
      <c r="T32" s="19"/>
      <c r="U32" s="19"/>
      <c r="V32" s="19">
        <f>28500+10260</f>
        <v>38760</v>
      </c>
      <c r="W32" s="26" t="s">
        <v>65</v>
      </c>
      <c r="X32" s="19"/>
      <c r="Y32" s="19"/>
      <c r="Z32" s="19"/>
    </row>
    <row r="33" ht="14.25" customHeight="1">
      <c r="A33" s="35" t="s">
        <v>167</v>
      </c>
      <c r="B33" s="10"/>
      <c r="C33" s="19"/>
      <c r="D33" s="19">
        <f>0.5+499.5+1000+1000+1300+3500</f>
        <v>7300</v>
      </c>
      <c r="E33" s="19">
        <f>600</f>
        <v>600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>
        <f>2400</f>
        <v>2400</v>
      </c>
      <c r="W33" s="14" t="s">
        <v>168</v>
      </c>
      <c r="X33" s="19"/>
      <c r="Y33" s="19"/>
      <c r="Z33" s="19"/>
    </row>
    <row r="34" ht="14.25" customHeight="1">
      <c r="A34" s="35" t="s">
        <v>169</v>
      </c>
      <c r="B34" s="19"/>
      <c r="C34" s="19"/>
      <c r="D34" s="19">
        <f>4.5+0.5+0.5+9.5+1700+4000</f>
        <v>5715</v>
      </c>
      <c r="E34" s="19">
        <f>10000</f>
        <v>10000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>
        <f>5000</f>
        <v>5000</v>
      </c>
      <c r="W34" s="21" t="s">
        <v>170</v>
      </c>
      <c r="X34" s="19"/>
      <c r="Y34" s="19"/>
      <c r="Z34" s="19"/>
    </row>
    <row r="35" ht="14.25" customHeight="1">
      <c r="A35" s="35" t="s">
        <v>171</v>
      </c>
      <c r="B35" s="19" t="s">
        <v>79</v>
      </c>
      <c r="C35" s="19">
        <v>441.9</v>
      </c>
      <c r="D35" s="19">
        <f>52</f>
        <v>52</v>
      </c>
      <c r="E35" s="19">
        <f>500</f>
        <v>500</v>
      </c>
      <c r="F35" s="19"/>
      <c r="G35" s="19"/>
      <c r="H35" s="19"/>
      <c r="I35" s="19"/>
      <c r="J35" s="19"/>
      <c r="K35" s="19"/>
      <c r="L35" s="19"/>
      <c r="M35" s="19">
        <f>16840+22499.96+23750+5010</f>
        <v>68099.96</v>
      </c>
      <c r="N35" s="19"/>
      <c r="O35" s="19"/>
      <c r="P35" s="19"/>
      <c r="Q35" s="19"/>
      <c r="R35" s="19"/>
      <c r="S35" s="19"/>
      <c r="T35" s="19"/>
      <c r="U35" s="19">
        <f>50160</f>
        <v>50160</v>
      </c>
      <c r="V35" s="19">
        <f>50000</f>
        <v>50000</v>
      </c>
      <c r="W35" s="14" t="s">
        <v>120</v>
      </c>
      <c r="X35" s="19"/>
      <c r="Y35" s="19"/>
      <c r="Z35" s="19"/>
    </row>
    <row r="36" ht="14.25" customHeight="1">
      <c r="A36" s="35" t="s">
        <v>172</v>
      </c>
      <c r="B36" s="10" t="s">
        <v>79</v>
      </c>
      <c r="C36" s="19">
        <f>16301</f>
        <v>16301</v>
      </c>
      <c r="D36" s="19">
        <f>199.5+0.12+2+19150+200</f>
        <v>19551.62</v>
      </c>
      <c r="E36" s="19">
        <f>240+200+550+6000+12000+4000</f>
        <v>22990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>
        <f>120300+62000</f>
        <v>182300</v>
      </c>
      <c r="S36" s="19"/>
      <c r="T36" s="19">
        <f>21755.38</f>
        <v>21755.38</v>
      </c>
      <c r="U36" s="19"/>
      <c r="V36" s="19"/>
      <c r="X36" s="19"/>
      <c r="Y36" s="19"/>
      <c r="Z36" s="19"/>
    </row>
    <row r="37" ht="14.25" customHeight="1">
      <c r="A37" s="35" t="s">
        <v>173</v>
      </c>
      <c r="B37" s="19" t="s">
        <v>174</v>
      </c>
      <c r="C37" s="19">
        <f>15000</f>
        <v>15000</v>
      </c>
      <c r="D37" s="19">
        <f>99.5+100+84.5+100+4000+200+200+1000</f>
        <v>5784</v>
      </c>
      <c r="E37" s="19">
        <f>120+12000+200+240+220+1800+1800+110+240+1499.5+10</f>
        <v>18239.5</v>
      </c>
      <c r="F37" s="19"/>
      <c r="G37" s="19">
        <f>20.38</f>
        <v>20.38</v>
      </c>
      <c r="H37" s="19"/>
      <c r="I37" s="19"/>
      <c r="J37" s="19"/>
      <c r="K37" s="19"/>
      <c r="M37" s="19">
        <f>19450</f>
        <v>19450</v>
      </c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35" t="s">
        <v>173</v>
      </c>
      <c r="B38" s="10" t="s">
        <v>175</v>
      </c>
      <c r="C38" s="19">
        <f>70000</f>
        <v>70000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X38" s="19"/>
      <c r="Y38" s="19"/>
      <c r="Z38" s="19"/>
    </row>
    <row r="39" ht="14.25" customHeight="1">
      <c r="A39" s="35" t="s">
        <v>173</v>
      </c>
      <c r="B39" s="19" t="s">
        <v>49</v>
      </c>
      <c r="C39" s="19">
        <f>2700</f>
        <v>2700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X39" s="19"/>
      <c r="Y39" s="19"/>
      <c r="Z39" s="19"/>
    </row>
    <row r="40" ht="14.25" customHeight="1">
      <c r="A40" s="35" t="s">
        <v>173</v>
      </c>
      <c r="B40" s="19" t="s">
        <v>79</v>
      </c>
      <c r="C40" s="19">
        <v>1964.0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X40" s="19"/>
      <c r="Y40" s="19"/>
      <c r="Z40" s="19"/>
    </row>
    <row r="41" ht="14.25" customHeight="1">
      <c r="A41" s="34"/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X41" s="19"/>
      <c r="Y41" s="19"/>
      <c r="Z41" s="19"/>
    </row>
    <row r="42" ht="14.25" customHeight="1">
      <c r="A42" s="35"/>
      <c r="B42" s="1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</row>
    <row r="43" ht="14.25" customHeight="1">
      <c r="A43" s="35"/>
    </row>
    <row r="44" ht="14.25" customHeight="1">
      <c r="A44" s="37" t="s">
        <v>50</v>
      </c>
      <c r="B44" s="24"/>
      <c r="C44" s="24">
        <f>SUM(C4:C43)</f>
        <v>60899182.06</v>
      </c>
      <c r="D44" s="24">
        <f t="shared" ref="D44:V44" si="1">SUM(D3:D43)</f>
        <v>506561.92</v>
      </c>
      <c r="E44" s="24">
        <f t="shared" si="1"/>
        <v>129503.52</v>
      </c>
      <c r="F44" s="24">
        <f t="shared" si="1"/>
        <v>0</v>
      </c>
      <c r="G44" s="24">
        <f t="shared" si="1"/>
        <v>20.38</v>
      </c>
      <c r="H44" s="24">
        <f t="shared" si="1"/>
        <v>813765.05</v>
      </c>
      <c r="I44" s="24">
        <f t="shared" si="1"/>
        <v>250026</v>
      </c>
      <c r="J44" s="24">
        <f t="shared" si="1"/>
        <v>0</v>
      </c>
      <c r="K44" s="24">
        <f t="shared" si="1"/>
        <v>0</v>
      </c>
      <c r="L44" s="24">
        <f t="shared" si="1"/>
        <v>0</v>
      </c>
      <c r="M44" s="24">
        <f t="shared" si="1"/>
        <v>330524.86</v>
      </c>
      <c r="N44" s="24">
        <f t="shared" si="1"/>
        <v>0</v>
      </c>
      <c r="O44" s="24">
        <f t="shared" si="1"/>
        <v>38416</v>
      </c>
      <c r="P44" s="24">
        <f t="shared" si="1"/>
        <v>0</v>
      </c>
      <c r="Q44" s="24">
        <f t="shared" si="1"/>
        <v>80000</v>
      </c>
      <c r="R44" s="24">
        <f t="shared" si="1"/>
        <v>182300</v>
      </c>
      <c r="S44" s="24">
        <f t="shared" si="1"/>
        <v>255451</v>
      </c>
      <c r="T44" s="24">
        <f t="shared" si="1"/>
        <v>53945.38</v>
      </c>
      <c r="U44" s="24">
        <f t="shared" si="1"/>
        <v>50160</v>
      </c>
      <c r="V44" s="24">
        <f t="shared" si="1"/>
        <v>645585.67</v>
      </c>
      <c r="W44" s="25"/>
      <c r="X44" s="25"/>
      <c r="Y44" s="25"/>
      <c r="Z44" s="25"/>
    </row>
    <row r="45" ht="14.25" customHeight="1">
      <c r="A45" s="38"/>
    </row>
    <row r="46" ht="14.25" customHeight="1">
      <c r="A46" s="38"/>
    </row>
    <row r="47" ht="14.25" customHeight="1">
      <c r="A47" s="38"/>
    </row>
    <row r="48" ht="14.25" customHeight="1">
      <c r="A48" s="38"/>
    </row>
    <row r="49" ht="14.25" customHeight="1">
      <c r="A49" s="38"/>
    </row>
    <row r="50" ht="14.25" customHeight="1">
      <c r="A50" s="38"/>
    </row>
    <row r="51" ht="14.25" customHeight="1">
      <c r="A51" s="38"/>
    </row>
    <row r="52" ht="14.25" customHeight="1">
      <c r="A52" s="38"/>
    </row>
    <row r="53" ht="14.25" customHeight="1">
      <c r="A53" s="38"/>
    </row>
    <row r="54" ht="14.25" customHeight="1">
      <c r="A54" s="38"/>
    </row>
    <row r="55" ht="14.25" customHeight="1">
      <c r="A55" s="38"/>
    </row>
    <row r="56" ht="14.25" customHeight="1">
      <c r="A56" s="38"/>
    </row>
    <row r="57" ht="14.25" customHeight="1">
      <c r="A57" s="38"/>
    </row>
    <row r="58" ht="14.25" customHeight="1">
      <c r="A58" s="38"/>
    </row>
    <row r="59" ht="14.25" customHeight="1">
      <c r="A59" s="38"/>
    </row>
    <row r="60" ht="14.25" customHeight="1">
      <c r="A60" s="38"/>
    </row>
    <row r="61" ht="14.25" customHeight="1">
      <c r="A61" s="38"/>
    </row>
    <row r="62" ht="14.25" customHeight="1">
      <c r="A62" s="38"/>
    </row>
    <row r="63" ht="14.25" customHeight="1">
      <c r="A63" s="38"/>
    </row>
    <row r="64" ht="14.25" customHeight="1">
      <c r="A64" s="38"/>
    </row>
    <row r="65" ht="14.25" customHeight="1">
      <c r="A65" s="38"/>
    </row>
    <row r="66" ht="14.25" customHeight="1">
      <c r="A66" s="38"/>
    </row>
    <row r="67" ht="14.25" customHeight="1">
      <c r="A67" s="38"/>
    </row>
    <row r="68" ht="14.25" customHeight="1">
      <c r="A68" s="38"/>
    </row>
    <row r="69" ht="14.25" customHeight="1">
      <c r="A69" s="38"/>
    </row>
    <row r="70" ht="14.25" customHeight="1">
      <c r="A70" s="38"/>
    </row>
    <row r="71" ht="14.25" customHeight="1">
      <c r="A71" s="38"/>
    </row>
    <row r="72" ht="14.25" customHeight="1">
      <c r="A72" s="38"/>
    </row>
    <row r="73" ht="14.25" customHeight="1">
      <c r="A73" s="38"/>
    </row>
    <row r="74" ht="14.25" customHeight="1">
      <c r="A74" s="38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5.75" customHeight="1">
      <c r="A245" s="38"/>
    </row>
    <row r="246" ht="15.75" customHeight="1">
      <c r="A246" s="38"/>
    </row>
    <row r="247" ht="15.75" customHeight="1">
      <c r="A247" s="38"/>
    </row>
    <row r="248" ht="15.75" customHeight="1">
      <c r="A248" s="38"/>
    </row>
    <row r="249" ht="15.75" customHeight="1">
      <c r="A249" s="38"/>
    </row>
    <row r="250" ht="15.75" customHeight="1">
      <c r="A250" s="38"/>
    </row>
    <row r="251" ht="15.75" customHeight="1">
      <c r="A251" s="38"/>
    </row>
    <row r="252" ht="15.75" customHeight="1">
      <c r="A252" s="38"/>
    </row>
    <row r="253" ht="15.75" customHeight="1">
      <c r="A253" s="38"/>
    </row>
    <row r="254" ht="15.75" customHeight="1">
      <c r="A254" s="38"/>
    </row>
    <row r="255" ht="15.75" customHeight="1">
      <c r="A255" s="38"/>
    </row>
    <row r="256" ht="15.75" customHeight="1">
      <c r="A256" s="38"/>
    </row>
    <row r="257" ht="15.75" customHeight="1">
      <c r="A257" s="38"/>
    </row>
    <row r="258" ht="15.75" customHeight="1">
      <c r="A258" s="38"/>
    </row>
    <row r="259" ht="15.75" customHeight="1">
      <c r="A259" s="38"/>
    </row>
    <row r="260" ht="15.75" customHeight="1">
      <c r="A260" s="38"/>
    </row>
    <row r="261" ht="15.75" customHeight="1">
      <c r="A261" s="38"/>
    </row>
    <row r="262" ht="15.75" customHeight="1">
      <c r="A262" s="38"/>
    </row>
    <row r="263" ht="15.75" customHeight="1">
      <c r="A263" s="38"/>
    </row>
    <row r="264" ht="15.75" customHeight="1">
      <c r="A264" s="38"/>
    </row>
    <row r="265" ht="15.75" customHeight="1">
      <c r="A265" s="38"/>
    </row>
    <row r="266" ht="15.7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6.57"/>
    <col customWidth="1" min="11" max="11" width="6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45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99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176</v>
      </c>
      <c r="P2" s="2" t="s">
        <v>100</v>
      </c>
      <c r="Q2" s="2" t="s">
        <v>139</v>
      </c>
      <c r="R2" s="2" t="s">
        <v>78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0">
        <f>5+5+5+5+5+5+5+5+5+5+15+5+5+5+5+5+5+5+5+5+5+5+5+5+5+5+5+5+5+5+5+5+5+5+5+5+5+5+15+5+5+5+5+5+15+5+5+5+15+15+15+15+15+15+5+5+5+5+5+5+5+5+5+5+5+5+5+5+5+5+5+5+5+5+5+5+5+15+15+15+5+15+5+5+15+15+15+15+15+5+15+5+15+5+5+700</f>
        <v>1375</v>
      </c>
      <c r="W3" s="10" t="s">
        <v>24</v>
      </c>
      <c r="X3" s="19"/>
      <c r="Y3" s="19"/>
      <c r="Z3" s="19"/>
    </row>
    <row r="4" ht="14.25" customHeight="1">
      <c r="A4" s="34">
        <v>44932.0</v>
      </c>
      <c r="B4" s="10" t="s">
        <v>177</v>
      </c>
      <c r="C4" s="40">
        <v>3000.0</v>
      </c>
      <c r="D4" s="19">
        <f>49.5</f>
        <v>49.5</v>
      </c>
      <c r="E4" s="19">
        <f>66+1100+70+5+1100+1200+1200+840+600+5000</f>
        <v>11181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30000+32500+17500</f>
        <v>80000</v>
      </c>
      <c r="W4" s="14" t="s">
        <v>73</v>
      </c>
      <c r="X4" s="19"/>
      <c r="Y4" s="19"/>
      <c r="Z4" s="19"/>
    </row>
    <row r="5" ht="14.25" customHeight="1">
      <c r="A5" s="34">
        <v>44932.0</v>
      </c>
      <c r="B5" s="10"/>
      <c r="C5" s="40"/>
      <c r="D5" s="19">
        <f>3000+200</f>
        <v>3200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720+2950</f>
        <v>3670</v>
      </c>
      <c r="W5" s="14" t="s">
        <v>45</v>
      </c>
      <c r="X5" s="19"/>
      <c r="Y5" s="19"/>
      <c r="Z5" s="19"/>
    </row>
    <row r="6" ht="14.25" customHeight="1">
      <c r="A6" s="34">
        <v>44932.0</v>
      </c>
      <c r="B6" s="10" t="s">
        <v>178</v>
      </c>
      <c r="C6" s="40">
        <v>20000.0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1656+480+480+15900+480</f>
        <v>18996</v>
      </c>
      <c r="W6" s="14" t="s">
        <v>81</v>
      </c>
      <c r="X6" s="19"/>
      <c r="Y6" s="19"/>
      <c r="Z6" s="19"/>
    </row>
    <row r="7" ht="14.25" customHeight="1">
      <c r="A7" s="34">
        <v>44932.0</v>
      </c>
      <c r="B7" s="10" t="s">
        <v>179</v>
      </c>
      <c r="C7" s="40">
        <v>15114.4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9000+66500+13500+13500</f>
        <v>102500</v>
      </c>
      <c r="W7" s="26" t="s">
        <v>27</v>
      </c>
      <c r="X7" s="19"/>
      <c r="Y7" s="19"/>
      <c r="Z7" s="19"/>
    </row>
    <row r="8" ht="14.25" customHeight="1">
      <c r="A8" s="34">
        <v>44932.0</v>
      </c>
      <c r="B8" s="16" t="s">
        <v>180</v>
      </c>
      <c r="C8" s="19">
        <v>200744.24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715</f>
        <v>715</v>
      </c>
      <c r="W8" s="14" t="s">
        <v>36</v>
      </c>
      <c r="X8" s="19"/>
      <c r="Y8" s="19"/>
      <c r="Z8" s="19"/>
    </row>
    <row r="9" ht="14.25" customHeight="1">
      <c r="A9" s="34">
        <v>44932.0</v>
      </c>
      <c r="B9" s="16" t="s">
        <v>181</v>
      </c>
      <c r="C9" s="19">
        <f>3535.2</f>
        <v>3535.2</v>
      </c>
      <c r="D9" s="19">
        <f>100+250+100+100+100+100+100+100+200+200+400+500+1000+1000+1000+1300+3713.81+564.74</f>
        <v>10828.55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f>1853.93</f>
        <v>1853.93</v>
      </c>
      <c r="W9" s="26" t="s">
        <v>105</v>
      </c>
      <c r="X9" s="19"/>
      <c r="Y9" s="19"/>
      <c r="Z9" s="19"/>
    </row>
    <row r="10" ht="14.25" customHeight="1">
      <c r="A10" s="34">
        <v>44963.0</v>
      </c>
      <c r="B10" s="16" t="s">
        <v>26</v>
      </c>
      <c r="C10" s="19">
        <v>15868.58</v>
      </c>
      <c r="D10" s="19">
        <f>9.5+31</f>
        <v>40.5</v>
      </c>
      <c r="E10" s="19">
        <f>600</f>
        <v>600</v>
      </c>
      <c r="F10" s="19"/>
      <c r="G10" s="19"/>
      <c r="H10" s="19"/>
      <c r="I10" s="19"/>
      <c r="J10" s="19"/>
      <c r="K10" s="19"/>
      <c r="L10" s="19"/>
      <c r="M10" s="19">
        <f>22280+27376</f>
        <v>49656</v>
      </c>
      <c r="N10" s="19"/>
      <c r="O10" s="19"/>
      <c r="P10" s="19"/>
      <c r="Q10" s="19"/>
      <c r="R10" s="19"/>
      <c r="S10" s="19"/>
      <c r="T10" s="19">
        <f>289710</f>
        <v>289710</v>
      </c>
      <c r="U10" s="19"/>
      <c r="V10" s="19">
        <f>90+1300</f>
        <v>1390</v>
      </c>
      <c r="W10" s="26" t="s">
        <v>29</v>
      </c>
      <c r="X10" s="19"/>
      <c r="Y10" s="19"/>
      <c r="Z10" s="19"/>
    </row>
    <row r="11" ht="14.25" customHeight="1">
      <c r="A11" s="34">
        <v>44963.0</v>
      </c>
      <c r="B11" s="16" t="s">
        <v>182</v>
      </c>
      <c r="C11" s="19">
        <f>70</f>
        <v>70</v>
      </c>
      <c r="D11" s="19">
        <f>50+162.5+300+1000+2102.72</f>
        <v>3615.22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805.13+620.05+1569.93</f>
        <v>2995.11</v>
      </c>
      <c r="W11" s="18" t="s">
        <v>183</v>
      </c>
      <c r="X11" s="19"/>
      <c r="Y11" s="19"/>
      <c r="Z11" s="19"/>
    </row>
    <row r="12" ht="14.25" customHeight="1">
      <c r="A12" s="34">
        <v>44963.0</v>
      </c>
      <c r="B12" s="16" t="s">
        <v>181</v>
      </c>
      <c r="C12" s="19">
        <f>294.6+392.8+43699</f>
        <v>44386.4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>5950</f>
        <v>5950</v>
      </c>
      <c r="W12" s="21" t="s">
        <v>184</v>
      </c>
      <c r="X12" s="19"/>
      <c r="Y12" s="19"/>
      <c r="Z12" s="19"/>
    </row>
    <row r="13" ht="14.25" customHeight="1">
      <c r="A13" s="34">
        <v>44991.0</v>
      </c>
      <c r="B13" s="16"/>
      <c r="C13" s="19"/>
      <c r="D13" s="19">
        <f>2159.57+188.72</f>
        <v>2348.29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810</f>
        <v>810</v>
      </c>
      <c r="W13" s="26" t="s">
        <v>44</v>
      </c>
      <c r="X13" s="19"/>
      <c r="Y13" s="19"/>
      <c r="Z13" s="19"/>
    </row>
    <row r="14" ht="14.25" customHeight="1">
      <c r="A14" s="34">
        <v>44991.0</v>
      </c>
      <c r="B14" s="16"/>
      <c r="C14" s="19"/>
      <c r="D14" s="19">
        <v>700.0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>
        <f>2750+2433</f>
        <v>5183</v>
      </c>
      <c r="W14" s="26" t="s">
        <v>59</v>
      </c>
      <c r="X14" s="19"/>
      <c r="Y14" s="19"/>
      <c r="Z14" s="19"/>
    </row>
    <row r="15" ht="14.25" customHeight="1">
      <c r="A15" s="34">
        <v>44991.0</v>
      </c>
      <c r="B15" s="16"/>
      <c r="C15" s="19"/>
      <c r="D15" s="19">
        <f>9.5+10.5+199.5+0.5+0.5+9.5</f>
        <v>230</v>
      </c>
      <c r="E15" s="19">
        <f>600</f>
        <v>600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>
        <f>59350</f>
        <v>59350</v>
      </c>
      <c r="W15" s="26" t="s">
        <v>66</v>
      </c>
      <c r="X15" s="19"/>
      <c r="Y15" s="19"/>
      <c r="Z15" s="19"/>
    </row>
    <row r="16" ht="14.25" customHeight="1">
      <c r="A16" s="34">
        <v>45022.0</v>
      </c>
      <c r="B16" s="16"/>
      <c r="C16" s="19"/>
      <c r="D16" s="19">
        <f>3679.09+52.29</f>
        <v>3731.38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f>12100+12100</f>
        <v>24200</v>
      </c>
      <c r="W16" s="26" t="s">
        <v>90</v>
      </c>
      <c r="X16" s="19"/>
      <c r="Y16" s="19"/>
      <c r="Z16" s="19"/>
    </row>
    <row r="17" ht="14.25" customHeight="1">
      <c r="A17" s="34">
        <v>45022.0</v>
      </c>
      <c r="B17" s="10"/>
      <c r="C17" s="7"/>
      <c r="D17" s="19">
        <v>7896.0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>
        <f>24375+24375</f>
        <v>48750</v>
      </c>
      <c r="W17" s="26" t="s">
        <v>185</v>
      </c>
      <c r="X17" s="19"/>
      <c r="Y17" s="19"/>
      <c r="Z17" s="19"/>
    </row>
    <row r="18" ht="14.25" customHeight="1">
      <c r="A18" s="34">
        <v>45022.0</v>
      </c>
      <c r="B18" s="10"/>
      <c r="C18" s="7"/>
      <c r="D18" s="19">
        <f>300+0.5</f>
        <v>300.5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f>1101+13212+16148+279.6+3355.2+4100.8+169.37+2032.41+1101+2483.5+16148+13212</f>
        <v>73342.88</v>
      </c>
      <c r="W18" s="14" t="s">
        <v>34</v>
      </c>
      <c r="X18" s="19"/>
      <c r="Y18" s="19"/>
      <c r="Z18" s="19"/>
    </row>
    <row r="19" ht="14.25" customHeight="1">
      <c r="A19" s="34">
        <v>45052.0</v>
      </c>
      <c r="B19" s="10"/>
      <c r="C19" s="7"/>
      <c r="D19" s="19">
        <v>18600.0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f>789.7</f>
        <v>789.7</v>
      </c>
      <c r="W19" s="14" t="s">
        <v>186</v>
      </c>
      <c r="X19" s="19"/>
      <c r="Y19" s="19"/>
      <c r="Z19" s="19"/>
    </row>
    <row r="20" ht="14.25" customHeight="1">
      <c r="A20" s="34">
        <v>45052.0</v>
      </c>
      <c r="B20" s="16" t="s">
        <v>26</v>
      </c>
      <c r="C20" s="19">
        <v>152.86</v>
      </c>
      <c r="D20" s="19">
        <f>9.5+9.5+0.5+5000</f>
        <v>5019.5</v>
      </c>
      <c r="E20" s="19">
        <f>480</f>
        <v>480</v>
      </c>
      <c r="F20" s="19"/>
      <c r="G20" s="19"/>
      <c r="H20" s="19"/>
      <c r="I20" s="19">
        <f>4500</f>
        <v>4500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20004.25+10022.25+9016+10022.25+10022.25</f>
        <v>59087</v>
      </c>
      <c r="W20" s="14" t="s">
        <v>31</v>
      </c>
      <c r="X20" s="19"/>
      <c r="Y20" s="19"/>
      <c r="Z20" s="19"/>
    </row>
    <row r="21" ht="14.25" customHeight="1">
      <c r="A21" s="34">
        <v>45052.0</v>
      </c>
      <c r="B21" s="16" t="s">
        <v>181</v>
      </c>
      <c r="C21" s="19">
        <f>14730+687.4+3928</f>
        <v>19345.4</v>
      </c>
      <c r="D21" s="19">
        <f>168+5873.4+48</f>
        <v>6089.4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>
        <f>9016+10022.25+20004.25+10022.25+10022.25+7502.6+7502.6</f>
        <v>74092.2</v>
      </c>
      <c r="W21" s="10" t="s">
        <v>32</v>
      </c>
      <c r="X21" s="19"/>
      <c r="Y21" s="19"/>
      <c r="Z21" s="19"/>
    </row>
    <row r="22" ht="14.25" customHeight="1">
      <c r="A22" s="34">
        <v>45083.0</v>
      </c>
      <c r="B22" s="7"/>
      <c r="C22" s="19"/>
      <c r="D22" s="19">
        <f>9.5+200+100+300+100+777+999.5+600</f>
        <v>3086</v>
      </c>
      <c r="E22" s="19">
        <f>600+60+600+10</f>
        <v>1270</v>
      </c>
      <c r="F22" s="19"/>
      <c r="G22" s="19"/>
      <c r="H22" s="19"/>
      <c r="I22" s="19"/>
      <c r="J22" s="19"/>
      <c r="K22" s="19"/>
      <c r="L22" s="19"/>
      <c r="M22" s="19">
        <f>69660+20900+20029.52+34119</f>
        <v>144708.52</v>
      </c>
      <c r="N22" s="19"/>
      <c r="O22" s="19"/>
      <c r="P22" s="19"/>
      <c r="Q22" s="19"/>
      <c r="R22" s="19"/>
      <c r="S22" s="19"/>
      <c r="T22" s="19"/>
      <c r="U22" s="19"/>
      <c r="V22" s="19">
        <f>15066</f>
        <v>15066</v>
      </c>
      <c r="W22" s="26" t="s">
        <v>65</v>
      </c>
      <c r="X22" s="19"/>
      <c r="Y22" s="19"/>
      <c r="Z22" s="19"/>
    </row>
    <row r="23" ht="14.25" customHeight="1">
      <c r="A23" s="34">
        <v>45083.0</v>
      </c>
      <c r="B23" s="16"/>
      <c r="C23" s="19"/>
      <c r="D23" s="19">
        <v>4.45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f>549+1190</f>
        <v>1739</v>
      </c>
      <c r="W23" s="26" t="s">
        <v>145</v>
      </c>
      <c r="X23" s="19"/>
      <c r="Y23" s="19"/>
      <c r="Z23" s="19"/>
    </row>
    <row r="24" ht="14.25" customHeight="1">
      <c r="A24" s="34">
        <v>45113.0</v>
      </c>
      <c r="B24" s="7"/>
      <c r="C24" s="19"/>
      <c r="D24" s="19">
        <f>200+50+100+100</f>
        <v>450</v>
      </c>
      <c r="E24" s="19">
        <f>120+220+240+240+240+240+100+24+120+66+1100+240+240+600+240+406.5+480+550+200+120+240</f>
        <v>6026.5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>
        <f>250</f>
        <v>250</v>
      </c>
      <c r="W24" s="14" t="s">
        <v>75</v>
      </c>
      <c r="X24" s="19"/>
      <c r="Y24" s="19"/>
      <c r="Z24" s="19"/>
    </row>
    <row r="25" ht="14.25" customHeight="1">
      <c r="A25" s="34">
        <v>45113.0</v>
      </c>
      <c r="B25" s="7"/>
      <c r="C25" s="19"/>
      <c r="D25" s="19">
        <f>300+1000+500+500+4000+98.7+100+100+200+1000+100+500</f>
        <v>8398.7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f>3122.94</f>
        <v>3122.94</v>
      </c>
      <c r="W25" s="14" t="s">
        <v>187</v>
      </c>
      <c r="X25" s="19"/>
      <c r="Y25" s="19"/>
      <c r="Z25" s="19"/>
    </row>
    <row r="26" ht="14.25" customHeight="1">
      <c r="A26" s="34">
        <v>45113.0</v>
      </c>
      <c r="B26" s="10"/>
      <c r="C26" s="19"/>
      <c r="D26" s="19">
        <f>90+180+300+50000+107.77</f>
        <v>50677.77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f>499</f>
        <v>499</v>
      </c>
      <c r="W26" s="21" t="s">
        <v>188</v>
      </c>
      <c r="X26" s="19"/>
      <c r="Y26" s="19"/>
      <c r="Z26" s="19"/>
    </row>
    <row r="27" ht="14.25" customHeight="1">
      <c r="A27" s="34">
        <v>45144.0</v>
      </c>
      <c r="B27" s="10"/>
      <c r="C27" s="19"/>
      <c r="D27" s="19">
        <f>500+296.1+100+20+100</f>
        <v>1016.1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f>1600</f>
        <v>1600</v>
      </c>
      <c r="W27" s="21" t="s">
        <v>80</v>
      </c>
      <c r="X27" s="19"/>
      <c r="Y27" s="19"/>
      <c r="Z27" s="19"/>
    </row>
    <row r="28" ht="14.25" customHeight="1">
      <c r="A28" s="34">
        <v>45144.0</v>
      </c>
      <c r="B28" s="10" t="s">
        <v>181</v>
      </c>
      <c r="C28" s="19">
        <f>196.4</f>
        <v>196.4</v>
      </c>
      <c r="D28" s="19">
        <f>1500+329847.51</f>
        <v>331347.51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f>600</f>
        <v>600</v>
      </c>
      <c r="W28" s="26" t="s">
        <v>47</v>
      </c>
      <c r="X28" s="19"/>
      <c r="Y28" s="19"/>
      <c r="Z28" s="19"/>
    </row>
    <row r="29" ht="14.25" customHeight="1">
      <c r="A29" s="34">
        <v>45144.0</v>
      </c>
      <c r="B29" s="7"/>
      <c r="C29" s="7"/>
      <c r="D29" s="19">
        <f>99.5+10.5+200+500+5000</f>
        <v>5810</v>
      </c>
      <c r="E29" s="19">
        <f>1008+110+60+240+240+240+200+220+200+600+240+10+600+550+1200+110+165+120+110+165+180+240+24+100+240+120+1200+600+240+240</f>
        <v>9572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63350</f>
        <v>63350</v>
      </c>
      <c r="W29" s="26" t="s">
        <v>71</v>
      </c>
      <c r="X29" s="19"/>
      <c r="Y29" s="19"/>
      <c r="Z29" s="19"/>
    </row>
    <row r="30" ht="14.25" customHeight="1">
      <c r="A30" s="34">
        <v>45175.0</v>
      </c>
      <c r="B30" s="7"/>
      <c r="C30" s="7"/>
      <c r="D30" s="19">
        <f>500+1000+500+1974+27</f>
        <v>4001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>
        <f>1780.1</f>
        <v>1780.1</v>
      </c>
      <c r="W30" s="21" t="s">
        <v>189</v>
      </c>
      <c r="X30" s="19"/>
      <c r="Y30" s="19"/>
      <c r="Z30" s="19"/>
    </row>
    <row r="31" ht="14.25" customHeight="1">
      <c r="A31" s="34">
        <v>45175.0</v>
      </c>
      <c r="B31" s="7"/>
      <c r="C31" s="7"/>
      <c r="D31" s="19">
        <f>200+99.5+10</f>
        <v>309.5</v>
      </c>
      <c r="E31" s="19">
        <f>600+600+55+396+1200+240+12000+550+240+600+120+120+550+48+3660+120+10+240+120</f>
        <v>21469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f>1500+19200+42560</f>
        <v>63260</v>
      </c>
      <c r="U31" s="19"/>
      <c r="V31" s="19">
        <f>40850</f>
        <v>40850</v>
      </c>
      <c r="W31" s="26" t="s">
        <v>54</v>
      </c>
      <c r="X31" s="19"/>
      <c r="Y31" s="19"/>
      <c r="Z31" s="19"/>
    </row>
    <row r="32" ht="14.25" customHeight="1">
      <c r="A32" s="34">
        <v>45175.0</v>
      </c>
      <c r="B32" s="7" t="s">
        <v>181</v>
      </c>
      <c r="C32" s="7">
        <v>28696.99</v>
      </c>
      <c r="D32" s="19">
        <f>50+7292.76+987.71</f>
        <v>8330.47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X32" s="19"/>
      <c r="Y32" s="19"/>
      <c r="Z32" s="19"/>
    </row>
    <row r="33" ht="14.25" customHeight="1">
      <c r="A33" s="34">
        <v>45205.0</v>
      </c>
      <c r="B33" s="7"/>
      <c r="C33" s="7"/>
      <c r="D33" s="19">
        <f>4900+500+25+98.7+1000</f>
        <v>6523.7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X33" s="19"/>
      <c r="Y33" s="19"/>
      <c r="Z33" s="19"/>
    </row>
    <row r="34" ht="14.25" customHeight="1">
      <c r="A34" s="34">
        <v>45205.0</v>
      </c>
      <c r="B34" s="7"/>
      <c r="C34" s="7"/>
      <c r="D34" s="19">
        <f>299.5+1000+1.5+299.5+199.5+5</f>
        <v>1805</v>
      </c>
      <c r="E34" s="19">
        <f>600+550+500+6+180+120+20+240+110+60+240</f>
        <v>2626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X34" s="19"/>
      <c r="Y34" s="19"/>
      <c r="Z34" s="19"/>
    </row>
    <row r="35" ht="14.25" customHeight="1">
      <c r="A35" s="34">
        <v>45205.0</v>
      </c>
      <c r="B35" s="16"/>
      <c r="C35" s="19"/>
      <c r="D35" s="19">
        <f>50+920.26+39.26</f>
        <v>1009.52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X35" s="19"/>
      <c r="Y35" s="19"/>
      <c r="Z35" s="19"/>
    </row>
    <row r="36" ht="14.25" customHeight="1">
      <c r="A36" s="34">
        <v>45236.0</v>
      </c>
      <c r="B36" s="16"/>
      <c r="C36" s="19"/>
      <c r="D36" s="19">
        <f>100+50</f>
        <v>150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X36" s="19"/>
      <c r="Y36" s="19"/>
      <c r="Z36" s="19"/>
    </row>
    <row r="37" ht="14.25" customHeight="1">
      <c r="A37" s="34">
        <v>45236.0</v>
      </c>
      <c r="B37" s="16"/>
      <c r="C37" s="19"/>
      <c r="D37" s="19">
        <f>149.5+299.5+199.5+200+100+200</f>
        <v>1148.5</v>
      </c>
      <c r="E37" s="19">
        <f>240+120+240+120+12+600+440</f>
        <v>1772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34">
        <v>45236.0</v>
      </c>
      <c r="B38" s="16"/>
      <c r="C38" s="19"/>
      <c r="D38" s="19">
        <f>3211.05</f>
        <v>3211.05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X38" s="19"/>
      <c r="Y38" s="19"/>
      <c r="Z38" s="19"/>
    </row>
    <row r="39" ht="14.25" customHeight="1">
      <c r="A39" s="34">
        <v>45266.0</v>
      </c>
      <c r="B39" s="16"/>
      <c r="C39" s="19"/>
      <c r="D39" s="19">
        <v>100.0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X39" s="19"/>
      <c r="Y39" s="19"/>
      <c r="Z39" s="19"/>
    </row>
    <row r="40" ht="14.25" customHeight="1">
      <c r="A40" s="34">
        <v>45266.0</v>
      </c>
      <c r="B40" s="16"/>
      <c r="C40" s="19"/>
      <c r="D40" s="19">
        <f>9.5+0.5</f>
        <v>10</v>
      </c>
      <c r="E40" s="19">
        <f>200+2400+110+1100+240+360</f>
        <v>4410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>
        <f>42560+19200+1500</f>
        <v>63260</v>
      </c>
      <c r="U40" s="19"/>
      <c r="V40" s="19"/>
      <c r="X40" s="19"/>
      <c r="Y40" s="19"/>
      <c r="Z40" s="19"/>
    </row>
    <row r="41" ht="14.25" customHeight="1">
      <c r="A41" s="34">
        <v>45266.0</v>
      </c>
      <c r="B41" s="7" t="s">
        <v>181</v>
      </c>
      <c r="C41" s="19">
        <v>196.4</v>
      </c>
      <c r="D41" s="19">
        <f>6768.04+2652.69</f>
        <v>9420.73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X41" s="19"/>
      <c r="Y41" s="19"/>
      <c r="Z41" s="19"/>
    </row>
    <row r="42" ht="14.25" customHeight="1">
      <c r="A42" s="35" t="s">
        <v>190</v>
      </c>
      <c r="B42" s="16" t="s">
        <v>191</v>
      </c>
      <c r="C42" s="19">
        <v>731372.0</v>
      </c>
      <c r="D42" s="19">
        <f>149.5+8800+9.5+299.5+500</f>
        <v>9758.5</v>
      </c>
      <c r="E42" s="19">
        <f>1872.66+50+3000+100+110+600</f>
        <v>5732.66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</row>
    <row r="43" ht="14.25" customHeight="1">
      <c r="A43" s="35" t="s">
        <v>190</v>
      </c>
      <c r="B43" s="7"/>
      <c r="C43" s="19"/>
      <c r="D43" s="19">
        <f>1884.3</f>
        <v>1884.3</v>
      </c>
      <c r="E43" s="19"/>
      <c r="F43" s="19"/>
      <c r="G43" s="19"/>
      <c r="H43" s="19">
        <f>77315</f>
        <v>77315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X43" s="19"/>
      <c r="Y43" s="19"/>
      <c r="Z43" s="19"/>
    </row>
    <row r="44" ht="14.25" customHeight="1">
      <c r="A44" s="35" t="s">
        <v>190</v>
      </c>
      <c r="B44" s="10"/>
      <c r="C44" s="19"/>
      <c r="D44" s="19">
        <v>1000.0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X44" s="19"/>
      <c r="Y44" s="19"/>
      <c r="Z44" s="19"/>
    </row>
    <row r="45" ht="14.25" customHeight="1">
      <c r="A45" s="35" t="s">
        <v>192</v>
      </c>
      <c r="B45" s="10"/>
      <c r="C45" s="19"/>
      <c r="D45" s="19">
        <f>100+1500</f>
        <v>1600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X45" s="19"/>
      <c r="Y45" s="19"/>
      <c r="Z45" s="19"/>
    </row>
    <row r="46" ht="14.25" customHeight="1">
      <c r="A46" s="35" t="s">
        <v>192</v>
      </c>
      <c r="B46" s="10" t="s">
        <v>181</v>
      </c>
      <c r="C46" s="19">
        <f>196.4+294.6+8838</f>
        <v>9329</v>
      </c>
      <c r="D46" s="19">
        <f>500+2417.54+212.46</f>
        <v>3130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X46" s="19"/>
      <c r="Y46" s="19"/>
      <c r="Z46" s="19"/>
    </row>
    <row r="47" ht="14.25" customHeight="1">
      <c r="A47" s="35" t="s">
        <v>192</v>
      </c>
      <c r="B47" s="10"/>
      <c r="C47" s="19"/>
      <c r="D47" s="19">
        <f>290+80+299.5+0.5+4000+24.5</f>
        <v>4694.5</v>
      </c>
      <c r="E47" s="19">
        <f>600+6+240+500+240+600+120+600+360+50+360</f>
        <v>3676</v>
      </c>
      <c r="F47" s="19"/>
      <c r="G47" s="19"/>
      <c r="H47" s="19"/>
      <c r="I47" s="19"/>
      <c r="J47" s="19"/>
      <c r="K47" s="19"/>
      <c r="L47" s="19"/>
      <c r="M47" s="19">
        <f>94495</f>
        <v>94495</v>
      </c>
      <c r="N47" s="19"/>
      <c r="O47" s="19"/>
      <c r="P47" s="19"/>
      <c r="Q47" s="19"/>
      <c r="R47" s="19"/>
      <c r="S47" s="19"/>
      <c r="T47" s="19"/>
      <c r="U47" s="19"/>
      <c r="V47" s="19"/>
      <c r="X47" s="19"/>
      <c r="Y47" s="19"/>
      <c r="Z47" s="19"/>
    </row>
    <row r="48" ht="14.25" customHeight="1">
      <c r="A48" s="35" t="s">
        <v>193</v>
      </c>
      <c r="B48" s="10" t="s">
        <v>181</v>
      </c>
      <c r="C48" s="19">
        <v>101241.26</v>
      </c>
      <c r="D48" s="19">
        <f>45150+1488.53</f>
        <v>46638.53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X48" s="19"/>
      <c r="Y48" s="19"/>
      <c r="Z48" s="19"/>
    </row>
    <row r="49" ht="14.25" customHeight="1">
      <c r="A49" s="35" t="s">
        <v>193</v>
      </c>
      <c r="B49" s="10"/>
      <c r="C49" s="19"/>
      <c r="D49" s="19">
        <f>0.5+199.5+199.5+3999.5+1000+72.5+10000+499.5</f>
        <v>15971</v>
      </c>
      <c r="E49" s="19">
        <f>240+50+4115.23+240+220+36+500+30+120</f>
        <v>5551.23</v>
      </c>
      <c r="F49" s="19"/>
      <c r="G49" s="19">
        <f>15</f>
        <v>15</v>
      </c>
      <c r="H49" s="19"/>
      <c r="I49" s="19"/>
      <c r="J49" s="19"/>
      <c r="K49" s="19"/>
      <c r="L49" s="19"/>
      <c r="M49" s="19">
        <f>215100+158370+26900</f>
        <v>400370</v>
      </c>
      <c r="N49" s="19"/>
      <c r="O49" s="19"/>
      <c r="P49" s="19"/>
      <c r="Q49" s="19">
        <f>39760+117544</f>
        <v>157304</v>
      </c>
      <c r="R49" s="19">
        <f>564504</f>
        <v>564504</v>
      </c>
      <c r="S49" s="19"/>
      <c r="T49" s="19"/>
      <c r="U49" s="19"/>
      <c r="V49" s="19"/>
      <c r="X49" s="19"/>
      <c r="Y49" s="19"/>
      <c r="Z49" s="19"/>
    </row>
    <row r="50" ht="14.25" customHeight="1">
      <c r="A50" s="35" t="s">
        <v>193</v>
      </c>
      <c r="B50" s="10"/>
      <c r="C50" s="19"/>
      <c r="D50" s="19">
        <f>100+493.5+2000+50+98.7</f>
        <v>2742.2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X50" s="19"/>
      <c r="Y50" s="19"/>
      <c r="Z50" s="19"/>
    </row>
    <row r="51" ht="14.25" customHeight="1">
      <c r="A51" s="35" t="s">
        <v>194</v>
      </c>
      <c r="B51" s="10" t="s">
        <v>181</v>
      </c>
      <c r="C51" s="19">
        <f>294.6+4910</f>
        <v>5204.6</v>
      </c>
      <c r="D51" s="19">
        <f>1754.53+463.69+260.38</f>
        <v>2478.6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X51" s="19"/>
      <c r="Y51" s="19"/>
      <c r="Z51" s="19"/>
    </row>
    <row r="52" ht="14.25" customHeight="1">
      <c r="A52" s="35" t="s">
        <v>194</v>
      </c>
      <c r="B52" s="10"/>
      <c r="C52" s="19"/>
      <c r="D52" s="19">
        <f>10.5+9.5+499.5+300</f>
        <v>819.5</v>
      </c>
      <c r="E52" s="19">
        <f>300+300+300+50+100+550+110</f>
        <v>1710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X52" s="19"/>
      <c r="Y52" s="19"/>
      <c r="Z52" s="19"/>
    </row>
    <row r="53" ht="14.25" customHeight="1">
      <c r="A53" s="35" t="s">
        <v>194</v>
      </c>
      <c r="B53" s="7"/>
      <c r="C53" s="19"/>
      <c r="D53" s="19">
        <f>100+49.35+100+500+200+98.7+200</f>
        <v>1248.05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X53" s="19"/>
      <c r="Y53" s="19"/>
      <c r="Z53" s="19"/>
    </row>
    <row r="54" ht="14.25" customHeight="1">
      <c r="A54" s="35" t="s">
        <v>195</v>
      </c>
      <c r="B54" s="16"/>
      <c r="C54" s="19"/>
      <c r="D54" s="19">
        <f>1805.02+197.85</f>
        <v>2002.87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X54" s="19"/>
      <c r="Y54" s="19"/>
      <c r="Z54" s="19"/>
    </row>
    <row r="55" ht="14.25" customHeight="1">
      <c r="A55" s="35" t="s">
        <v>195</v>
      </c>
      <c r="B55" s="16"/>
      <c r="C55" s="19"/>
      <c r="D55" s="19"/>
      <c r="E55" s="19">
        <f>180+374.53+50+50+120+550+300</f>
        <v>1624.53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X55" s="19"/>
      <c r="Y55" s="19"/>
      <c r="Z55" s="19"/>
    </row>
    <row r="56" ht="14.25" customHeight="1">
      <c r="A56" s="35" t="s">
        <v>195</v>
      </c>
      <c r="B56" s="16"/>
      <c r="C56" s="19"/>
      <c r="D56" s="19">
        <f>107+98.7+1000+98.7+200</f>
        <v>1504.4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X56" s="19"/>
      <c r="Y56" s="19"/>
      <c r="Z56" s="19"/>
    </row>
    <row r="57" ht="14.25" customHeight="1">
      <c r="A57" s="35" t="s">
        <v>196</v>
      </c>
      <c r="B57" s="16"/>
      <c r="C57" s="19"/>
      <c r="D57" s="19">
        <f>4484.82+571.94+58.17</f>
        <v>5114.93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X57" s="19"/>
      <c r="Y57" s="19"/>
      <c r="Z57" s="19"/>
    </row>
    <row r="58" ht="14.25" customHeight="1">
      <c r="A58" s="35" t="s">
        <v>196</v>
      </c>
      <c r="B58" s="16"/>
      <c r="C58" s="19"/>
      <c r="D58" s="19">
        <f>9.5+9.5+0.5+0.5+99.5</f>
        <v>119.5</v>
      </c>
      <c r="E58" s="19">
        <f>50+600+30+50+458.33</f>
        <v>1188.33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X58" s="19"/>
      <c r="Y58" s="19"/>
      <c r="Z58" s="19"/>
    </row>
    <row r="59" ht="14.25" customHeight="1">
      <c r="A59" s="35" t="s">
        <v>196</v>
      </c>
      <c r="B59" s="10"/>
      <c r="C59" s="19"/>
      <c r="D59" s="19">
        <f>300+296.1+100+1974</f>
        <v>2670.1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X59" s="19"/>
      <c r="Y59" s="19"/>
      <c r="Z59" s="19"/>
    </row>
    <row r="60" ht="14.25" customHeight="1">
      <c r="A60" s="35" t="s">
        <v>197</v>
      </c>
      <c r="B60" s="10"/>
      <c r="C60" s="19"/>
      <c r="D60" s="19">
        <f>100+50</f>
        <v>150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X60" s="19"/>
      <c r="Y60" s="19"/>
      <c r="Z60" s="19"/>
    </row>
    <row r="61" ht="14.25" customHeight="1">
      <c r="A61" s="35" t="s">
        <v>197</v>
      </c>
      <c r="B61" s="10"/>
      <c r="C61" s="19"/>
      <c r="D61" s="19">
        <f>9.5+9.5+0.5+899.5+129230</f>
        <v>130149</v>
      </c>
      <c r="E61" s="19">
        <f>100+50+120+1000+240+600+120</f>
        <v>2230</v>
      </c>
      <c r="F61" s="19"/>
      <c r="G61" s="19"/>
      <c r="H61" s="19"/>
      <c r="I61" s="19"/>
      <c r="J61" s="19"/>
      <c r="K61" s="19"/>
      <c r="L61" s="19"/>
      <c r="M61" s="19">
        <f>166868</f>
        <v>166868</v>
      </c>
      <c r="N61" s="19"/>
      <c r="O61" s="19"/>
      <c r="P61" s="19"/>
      <c r="Q61" s="19"/>
      <c r="R61" s="19"/>
      <c r="S61" s="19"/>
      <c r="T61" s="19"/>
      <c r="U61" s="19"/>
      <c r="V61" s="19"/>
      <c r="X61" s="19"/>
      <c r="Y61" s="19"/>
      <c r="Z61" s="19"/>
    </row>
    <row r="62" ht="14.25" customHeight="1">
      <c r="A62" s="35" t="s">
        <v>197</v>
      </c>
      <c r="B62" s="10"/>
      <c r="C62" s="19"/>
      <c r="D62" s="19">
        <f>1500+9038.74</f>
        <v>10538.74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X62" s="19"/>
      <c r="Y62" s="19"/>
      <c r="Z62" s="19"/>
    </row>
    <row r="63" ht="14.25" customHeight="1">
      <c r="A63" s="35" t="s">
        <v>198</v>
      </c>
      <c r="B63" s="10"/>
      <c r="C63" s="19"/>
      <c r="D63" s="19">
        <f>49.5+300+100</f>
        <v>449.5</v>
      </c>
      <c r="E63" s="19">
        <f>120+200+50+200+6.6+240+600+4251</f>
        <v>5667.6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X63" s="19"/>
      <c r="Y63" s="19"/>
      <c r="Z63" s="19"/>
    </row>
    <row r="64" ht="14.25" customHeight="1">
      <c r="A64" s="35" t="s">
        <v>198</v>
      </c>
      <c r="B64" s="10" t="s">
        <v>181</v>
      </c>
      <c r="C64" s="19">
        <f>20131</f>
        <v>20131</v>
      </c>
      <c r="D64" s="19">
        <f>2434.64</f>
        <v>2434.64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X64" s="19"/>
      <c r="Y64" s="19"/>
      <c r="Z64" s="19"/>
    </row>
    <row r="65" ht="14.25" customHeight="1">
      <c r="A65" s="35" t="s">
        <v>198</v>
      </c>
      <c r="B65" s="10"/>
      <c r="C65" s="19"/>
      <c r="D65" s="19">
        <f>100+49.35+98.7+100</f>
        <v>348.05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X65" s="19"/>
      <c r="Y65" s="19"/>
      <c r="Z65" s="19"/>
    </row>
    <row r="66" ht="14.25" customHeight="1">
      <c r="A66" s="35" t="s">
        <v>199</v>
      </c>
      <c r="B66" s="10"/>
      <c r="C66" s="19"/>
      <c r="D66" s="19">
        <f>2086.14+832.3</f>
        <v>2918.44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X66" s="19"/>
      <c r="Y66" s="19"/>
      <c r="Z66" s="19"/>
    </row>
    <row r="67" ht="14.25" customHeight="1">
      <c r="A67" s="35" t="s">
        <v>199</v>
      </c>
      <c r="B67" s="10"/>
      <c r="C67" s="19"/>
      <c r="D67" s="19">
        <f>0.5+4.8+99.5</f>
        <v>104.8</v>
      </c>
      <c r="E67" s="19">
        <f>60+4.8+600+385+77+110+60.5+38.5+600</f>
        <v>1935.8</v>
      </c>
      <c r="F67" s="19"/>
      <c r="G67" s="19"/>
      <c r="H67" s="19">
        <f>394450</f>
        <v>394450</v>
      </c>
      <c r="I67" s="19"/>
      <c r="J67" s="19"/>
      <c r="K67" s="19"/>
      <c r="L67" s="19"/>
      <c r="M67" s="19">
        <f>22500+33750+35249.9+37730+54000</f>
        <v>183229.9</v>
      </c>
      <c r="N67" s="19"/>
      <c r="O67" s="19"/>
      <c r="P67" s="19"/>
      <c r="Q67" s="19"/>
      <c r="R67" s="19"/>
      <c r="S67" s="19"/>
      <c r="T67" s="19"/>
      <c r="U67" s="19"/>
      <c r="V67" s="19"/>
      <c r="X67" s="19"/>
      <c r="Y67" s="19"/>
      <c r="Z67" s="19"/>
    </row>
    <row r="68" ht="14.25" customHeight="1">
      <c r="A68" s="35" t="s">
        <v>199</v>
      </c>
      <c r="B68" s="10"/>
      <c r="C68" s="19"/>
      <c r="D68" s="19">
        <f>64.8</f>
        <v>64.8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X68" s="19"/>
      <c r="Y68" s="19"/>
      <c r="Z68" s="19"/>
    </row>
    <row r="69" ht="14.25" customHeight="1">
      <c r="A69" s="35" t="s">
        <v>200</v>
      </c>
      <c r="B69" s="10" t="s">
        <v>181</v>
      </c>
      <c r="C69" s="19">
        <f>982+1964</f>
        <v>2946</v>
      </c>
      <c r="D69" s="19">
        <f>5945.64+902.51</f>
        <v>6848.15</v>
      </c>
      <c r="E69" s="19"/>
      <c r="F69" s="19"/>
      <c r="G69" s="19"/>
      <c r="H69" s="19">
        <f>77315</f>
        <v>77315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X69" s="19"/>
      <c r="Y69" s="19"/>
      <c r="Z69" s="19"/>
    </row>
    <row r="70" ht="14.25" customHeight="1">
      <c r="A70" s="35" t="s">
        <v>200</v>
      </c>
      <c r="B70" s="10"/>
      <c r="C70" s="19"/>
      <c r="D70" s="19">
        <f>9.5+0.5+350</f>
        <v>360</v>
      </c>
      <c r="E70" s="19">
        <f>1000+30+50+200</f>
        <v>1280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X70" s="19"/>
      <c r="Y70" s="19"/>
      <c r="Z70" s="19"/>
    </row>
    <row r="71" ht="14.25" customHeight="1">
      <c r="A71" s="35" t="s">
        <v>200</v>
      </c>
      <c r="B71" s="10"/>
      <c r="C71" s="19"/>
      <c r="D71" s="19">
        <f>98.7</f>
        <v>98.7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X71" s="19"/>
      <c r="Y71" s="19"/>
      <c r="Z71" s="19"/>
    </row>
    <row r="72" ht="14.25" customHeight="1">
      <c r="A72" s="35" t="s">
        <v>201</v>
      </c>
      <c r="B72" s="10"/>
      <c r="C72" s="19"/>
      <c r="D72" s="19">
        <f>2000+0.5</f>
        <v>2000.5</v>
      </c>
      <c r="E72" s="19">
        <f>600</f>
        <v>600</v>
      </c>
      <c r="F72" s="19"/>
      <c r="G72" s="19"/>
      <c r="H72" s="19"/>
      <c r="I72" s="19"/>
      <c r="J72" s="19"/>
      <c r="K72" s="19"/>
      <c r="L72" s="19"/>
      <c r="M72" s="19"/>
      <c r="N72" s="19"/>
      <c r="O72" s="19">
        <f>7110+21980+10680+29084+13900+11960+14870+10990+10020+21980+11960+31680+6140+5990+20040+34789+11140+292530+61195+72907+24287+81316+21358+17778+199784+21358+19648+21878+33007+11720+14450</f>
        <v>1167529</v>
      </c>
      <c r="P72" s="19"/>
      <c r="Q72" s="19"/>
      <c r="R72" s="19"/>
      <c r="S72" s="19"/>
      <c r="T72" s="19"/>
      <c r="U72" s="19"/>
      <c r="V72" s="19"/>
      <c r="X72" s="19"/>
      <c r="Y72" s="19"/>
      <c r="Z72" s="19"/>
    </row>
    <row r="73" ht="14.25" customHeight="1">
      <c r="A73" s="35" t="s">
        <v>201</v>
      </c>
      <c r="B73" s="10"/>
      <c r="C73" s="19"/>
      <c r="D73" s="19">
        <f>400+1256.94</f>
        <v>1656.94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X73" s="19"/>
      <c r="Y73" s="19"/>
      <c r="Z73" s="19"/>
    </row>
    <row r="74" ht="14.25" customHeight="1">
      <c r="A74" s="35" t="s">
        <v>202</v>
      </c>
      <c r="B74" s="10"/>
      <c r="C74" s="19"/>
      <c r="D74" s="19">
        <f>0.5</f>
        <v>0.5</v>
      </c>
      <c r="E74" s="19">
        <f>100+24+120+990</f>
        <v>1234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0"/>
      <c r="X74" s="19"/>
      <c r="Y74" s="19"/>
      <c r="Z74" s="19"/>
    </row>
    <row r="75" ht="14.25" customHeight="1">
      <c r="A75" s="35" t="s">
        <v>202</v>
      </c>
      <c r="B75" s="10"/>
      <c r="C75" s="19"/>
      <c r="D75" s="19">
        <f>25000+3180+540.85</f>
        <v>28720.85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0"/>
      <c r="X75" s="19"/>
      <c r="Y75" s="19"/>
      <c r="Z75" s="19"/>
    </row>
    <row r="76" ht="14.25" customHeight="1">
      <c r="A76" s="35" t="s">
        <v>202</v>
      </c>
      <c r="B76" s="10"/>
      <c r="C76" s="19"/>
      <c r="D76" s="19">
        <f>100+100+1000</f>
        <v>1200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0"/>
      <c r="X76" s="19"/>
      <c r="Y76" s="19"/>
      <c r="Z76" s="19"/>
    </row>
    <row r="77" ht="14.25" customHeight="1">
      <c r="A77" s="35" t="s">
        <v>203</v>
      </c>
      <c r="B77" s="10"/>
      <c r="C77" s="19"/>
      <c r="D77" s="19">
        <f>0.5+0.5+9.5+0.5+99.5+99.5</f>
        <v>210</v>
      </c>
      <c r="E77" s="19">
        <f>1.2+100</f>
        <v>101.2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0"/>
      <c r="X77" s="19"/>
      <c r="Y77" s="19"/>
      <c r="Z77" s="19"/>
    </row>
    <row r="78" ht="14.25" customHeight="1">
      <c r="A78" s="35" t="s">
        <v>203</v>
      </c>
      <c r="B78" s="10"/>
      <c r="C78" s="19"/>
      <c r="D78" s="19">
        <f>2478.32</f>
        <v>2478.32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0"/>
      <c r="X78" s="19"/>
      <c r="Y78" s="19"/>
      <c r="Z78" s="19"/>
    </row>
    <row r="79" ht="14.25" customHeight="1">
      <c r="A79" s="35" t="s">
        <v>203</v>
      </c>
      <c r="B79" s="10"/>
      <c r="C79" s="19"/>
      <c r="D79" s="19">
        <f>493.5</f>
        <v>493.5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0"/>
      <c r="X79" s="19"/>
      <c r="Y79" s="19"/>
      <c r="Z79" s="19"/>
    </row>
    <row r="80" ht="14.25" customHeight="1">
      <c r="A80" s="35" t="s">
        <v>204</v>
      </c>
      <c r="B80" s="10" t="s">
        <v>181</v>
      </c>
      <c r="C80" s="19">
        <f>196.4+2258.6</f>
        <v>2455</v>
      </c>
      <c r="D80" s="19">
        <f>5000+2858.04</f>
        <v>7858.04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0"/>
      <c r="X80" s="19"/>
      <c r="Y80" s="19"/>
      <c r="Z80" s="19"/>
    </row>
    <row r="81" ht="14.25" customHeight="1">
      <c r="A81" s="35" t="s">
        <v>204</v>
      </c>
      <c r="B81" s="10"/>
      <c r="C81" s="19"/>
      <c r="D81" s="19">
        <f>199.5</f>
        <v>199.5</v>
      </c>
      <c r="E81" s="19">
        <f>2400+60+4.4+20</f>
        <v>2484.4</v>
      </c>
      <c r="F81" s="19"/>
      <c r="G81" s="19"/>
      <c r="H81" s="19">
        <f>152350+226200+149968+901617.31+2089999.97+8610+562499.53</f>
        <v>4091244.81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0"/>
      <c r="X81" s="19"/>
      <c r="Y81" s="19"/>
      <c r="Z81" s="19"/>
    </row>
    <row r="82" ht="14.25" customHeight="1">
      <c r="A82" s="35" t="s">
        <v>204</v>
      </c>
      <c r="B82" s="10"/>
      <c r="C82" s="19"/>
      <c r="D82" s="19">
        <f>100+200</f>
        <v>300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4.25" customHeight="1">
      <c r="A83" s="35" t="s">
        <v>205</v>
      </c>
      <c r="B83" s="10"/>
      <c r="C83" s="19"/>
      <c r="D83" s="19">
        <f>2407.55+222.77</f>
        <v>2630.32</v>
      </c>
      <c r="E83" s="19"/>
      <c r="F83" s="19"/>
      <c r="G83" s="19"/>
      <c r="H83" s="19">
        <f>77315</f>
        <v>77315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0"/>
      <c r="X83" s="19"/>
      <c r="Y83" s="19"/>
      <c r="Z83" s="19"/>
    </row>
    <row r="84" ht="14.25" customHeight="1">
      <c r="A84" s="35" t="s">
        <v>205</v>
      </c>
      <c r="B84" s="10"/>
      <c r="C84" s="19"/>
      <c r="D84" s="19">
        <f>100</f>
        <v>100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0"/>
      <c r="X84" s="19"/>
      <c r="Y84" s="19"/>
      <c r="Z84" s="19"/>
    </row>
    <row r="85" ht="14.25" customHeight="1">
      <c r="A85" s="35" t="s">
        <v>205</v>
      </c>
      <c r="B85" s="10"/>
      <c r="C85" s="19"/>
      <c r="D85" s="19">
        <f>0.5+499.5+3000</f>
        <v>3500</v>
      </c>
      <c r="E85" s="19">
        <f>24+120+120+35</f>
        <v>299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0"/>
      <c r="X85" s="19"/>
      <c r="Y85" s="19"/>
      <c r="Z85" s="19"/>
    </row>
    <row r="86" ht="14.25" customHeight="1">
      <c r="A86" s="35" t="s">
        <v>206</v>
      </c>
      <c r="B86" s="10"/>
      <c r="C86" s="19"/>
      <c r="D86" s="19">
        <f>1877.81+463.69</f>
        <v>2341.5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0"/>
      <c r="X86" s="19"/>
      <c r="Y86" s="19"/>
      <c r="Z86" s="19"/>
    </row>
    <row r="87" ht="14.25" customHeight="1">
      <c r="A87" s="35" t="s">
        <v>206</v>
      </c>
      <c r="B87" s="10"/>
      <c r="C87" s="19"/>
      <c r="D87" s="19">
        <f>5000+1000+200+120</f>
        <v>6320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0"/>
      <c r="X87" s="19"/>
      <c r="Y87" s="19"/>
      <c r="Z87" s="19"/>
    </row>
    <row r="88" ht="14.25" customHeight="1">
      <c r="A88" s="35" t="s">
        <v>206</v>
      </c>
      <c r="B88" s="19"/>
      <c r="C88" s="19"/>
      <c r="D88" s="19">
        <f>4.5+0.5+9.5</f>
        <v>14.5</v>
      </c>
      <c r="E88" s="19">
        <f>120+100+50+308+20</f>
        <v>598</v>
      </c>
      <c r="F88" s="19"/>
      <c r="G88" s="19"/>
      <c r="H88" s="19">
        <f>1876106.97+158599.68+487499.49+608999.06+211999.1+445800.01+99600+78720+617078.24</f>
        <v>4584402.55</v>
      </c>
      <c r="I88" s="19"/>
      <c r="J88" s="19"/>
      <c r="K88" s="19"/>
      <c r="L88" s="19"/>
      <c r="M88" s="19">
        <f>73390+14870+22950+26830+14870+35939+112210+86768+138640</f>
        <v>526467</v>
      </c>
      <c r="N88" s="19"/>
      <c r="O88" s="19"/>
      <c r="P88" s="19"/>
      <c r="Q88" s="19"/>
      <c r="R88" s="19"/>
      <c r="S88" s="19"/>
      <c r="T88" s="19"/>
      <c r="U88" s="19"/>
      <c r="V88" s="19"/>
      <c r="X88" s="19"/>
      <c r="Y88" s="19"/>
      <c r="Z88" s="19"/>
    </row>
    <row r="89" ht="14.25" customHeight="1">
      <c r="A89" s="35" t="s">
        <v>207</v>
      </c>
      <c r="B89" s="19"/>
      <c r="C89" s="19"/>
      <c r="D89" s="19">
        <f>2000+2129.73</f>
        <v>4129.73</v>
      </c>
      <c r="E89" s="19"/>
      <c r="F89" s="19"/>
      <c r="G89" s="19"/>
      <c r="H89" s="19">
        <f>11622.5</f>
        <v>11622.5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X89" s="19"/>
      <c r="Y89" s="19"/>
      <c r="Z89" s="19"/>
    </row>
    <row r="90" ht="14.25" customHeight="1">
      <c r="A90" s="35" t="s">
        <v>207</v>
      </c>
      <c r="B90" s="19"/>
      <c r="C90" s="19"/>
      <c r="D90" s="19">
        <f>100+100+987+300+493.5+200</f>
        <v>2180.5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X90" s="19"/>
      <c r="Y90" s="19"/>
      <c r="Z90" s="19"/>
    </row>
    <row r="91" ht="14.25" customHeight="1">
      <c r="A91" s="35" t="s">
        <v>207</v>
      </c>
      <c r="B91" s="19"/>
      <c r="C91" s="19"/>
      <c r="D91" s="19">
        <f>49</f>
        <v>49</v>
      </c>
      <c r="E91" s="19">
        <f>600+600</f>
        <v>1200</v>
      </c>
      <c r="F91" s="19"/>
      <c r="G91" s="19"/>
      <c r="H91" s="19">
        <f>165000+173613+1850500+8200+110000+66170</f>
        <v>2373483</v>
      </c>
      <c r="I91" s="19"/>
      <c r="J91" s="19"/>
      <c r="K91" s="19"/>
      <c r="L91" s="19"/>
      <c r="M91" s="19">
        <f>83020+54315+85775+59640+8080+22950+37696+13818+6140+52660+69215</f>
        <v>493309</v>
      </c>
      <c r="N91" s="19"/>
      <c r="O91" s="19"/>
      <c r="P91" s="19"/>
      <c r="Q91" s="19"/>
      <c r="R91" s="19"/>
      <c r="S91" s="19"/>
      <c r="T91" s="19"/>
      <c r="U91" s="19"/>
      <c r="V91" s="19"/>
      <c r="X91" s="19"/>
      <c r="Y91" s="19"/>
      <c r="Z91" s="19"/>
    </row>
    <row r="92" ht="14.25" customHeight="1">
      <c r="A92" s="35" t="s">
        <v>208</v>
      </c>
      <c r="B92" s="10"/>
      <c r="C92" s="19"/>
      <c r="D92" s="19">
        <f>4576.6+513.43</f>
        <v>5090.03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X92" s="19"/>
      <c r="Y92" s="19"/>
      <c r="Z92" s="19"/>
    </row>
    <row r="93" ht="14.25" customHeight="1">
      <c r="A93" s="35" t="s">
        <v>208</v>
      </c>
      <c r="B93" s="19"/>
      <c r="C93" s="19"/>
      <c r="D93" s="19">
        <f>987+100</f>
        <v>1087</v>
      </c>
      <c r="E93" s="19"/>
      <c r="F93" s="19"/>
      <c r="G93" s="19"/>
      <c r="H93" s="19"/>
      <c r="I93" s="19"/>
      <c r="J93" s="19"/>
      <c r="K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X93" s="19"/>
      <c r="Y93" s="19"/>
      <c r="Z93" s="19"/>
    </row>
    <row r="94" ht="14.25" customHeight="1">
      <c r="A94" s="35" t="s">
        <v>208</v>
      </c>
      <c r="B94" s="10" t="s">
        <v>209</v>
      </c>
      <c r="C94" s="19">
        <v>4500.0</v>
      </c>
      <c r="D94" s="19">
        <f>490+499.5</f>
        <v>989.5</v>
      </c>
      <c r="E94" s="19">
        <f>240+1200+240+50+2000+600+60+240</f>
        <v>4630</v>
      </c>
      <c r="F94" s="19"/>
      <c r="G94" s="19">
        <f>19.73</f>
        <v>19.73</v>
      </c>
      <c r="H94" s="19">
        <f>65200</f>
        <v>65200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X94" s="19"/>
      <c r="Y94" s="19"/>
      <c r="Z94" s="19"/>
    </row>
    <row r="95" ht="14.25" customHeight="1">
      <c r="A95" s="35"/>
    </row>
    <row r="96" ht="14.25" customHeight="1">
      <c r="A96" s="37" t="s">
        <v>50</v>
      </c>
      <c r="B96" s="24"/>
      <c r="C96" s="24">
        <f>SUM(C4:C95)</f>
        <v>1228485.73</v>
      </c>
      <c r="D96" s="24">
        <f t="shared" ref="D96:V96" si="1">SUM(D3:D95)</f>
        <v>830850.87</v>
      </c>
      <c r="E96" s="24">
        <f t="shared" si="1"/>
        <v>101749.25</v>
      </c>
      <c r="F96" s="24">
        <f t="shared" si="1"/>
        <v>0</v>
      </c>
      <c r="G96" s="24">
        <f t="shared" si="1"/>
        <v>34.73</v>
      </c>
      <c r="H96" s="24">
        <f t="shared" si="1"/>
        <v>11752347.86</v>
      </c>
      <c r="I96" s="24">
        <f t="shared" si="1"/>
        <v>4500</v>
      </c>
      <c r="J96" s="24">
        <f t="shared" si="1"/>
        <v>0</v>
      </c>
      <c r="K96" s="24">
        <f t="shared" si="1"/>
        <v>0</v>
      </c>
      <c r="L96" s="24">
        <f t="shared" si="1"/>
        <v>0</v>
      </c>
      <c r="M96" s="24">
        <f t="shared" si="1"/>
        <v>2059103.42</v>
      </c>
      <c r="N96" s="24">
        <f t="shared" si="1"/>
        <v>0</v>
      </c>
      <c r="O96" s="24">
        <f t="shared" si="1"/>
        <v>1167529</v>
      </c>
      <c r="P96" s="24">
        <f t="shared" si="1"/>
        <v>0</v>
      </c>
      <c r="Q96" s="24">
        <f t="shared" si="1"/>
        <v>157304</v>
      </c>
      <c r="R96" s="24">
        <f t="shared" si="1"/>
        <v>564504</v>
      </c>
      <c r="S96" s="24">
        <f t="shared" si="1"/>
        <v>0</v>
      </c>
      <c r="T96" s="24">
        <f t="shared" si="1"/>
        <v>416230</v>
      </c>
      <c r="U96" s="24">
        <f t="shared" si="1"/>
        <v>0</v>
      </c>
      <c r="V96" s="24">
        <f t="shared" si="1"/>
        <v>693906.86</v>
      </c>
      <c r="W96" s="25"/>
      <c r="X96" s="25"/>
      <c r="Y96" s="25"/>
      <c r="Z96" s="25"/>
    </row>
    <row r="97" ht="14.25" customHeight="1">
      <c r="A97" s="38"/>
    </row>
    <row r="98" ht="14.25" customHeight="1">
      <c r="A98" s="38"/>
      <c r="B98" s="41"/>
      <c r="C98" s="7"/>
    </row>
    <row r="99" ht="14.25" customHeight="1">
      <c r="A99" s="38"/>
      <c r="B99" s="42"/>
      <c r="C99" s="7"/>
    </row>
    <row r="100" ht="14.25" customHeight="1">
      <c r="A100" s="38"/>
      <c r="B100" s="43"/>
    </row>
    <row r="101" ht="14.25" customHeight="1">
      <c r="A101" s="38"/>
      <c r="B101" s="44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4.25" customHeight="1">
      <c r="A267" s="38"/>
    </row>
    <row r="268" ht="14.25" customHeight="1">
      <c r="A268" s="38"/>
    </row>
    <row r="269" ht="14.25" customHeight="1">
      <c r="A269" s="38"/>
    </row>
    <row r="270" ht="14.25" customHeight="1">
      <c r="A270" s="38"/>
    </row>
    <row r="271" ht="14.25" customHeight="1">
      <c r="A271" s="38"/>
    </row>
    <row r="272" ht="14.25" customHeight="1">
      <c r="A272" s="38"/>
    </row>
    <row r="273" ht="14.25" customHeight="1">
      <c r="A273" s="38"/>
    </row>
    <row r="274" ht="14.25" customHeight="1">
      <c r="A274" s="38"/>
    </row>
    <row r="275" ht="14.25" customHeight="1">
      <c r="A275" s="38"/>
    </row>
    <row r="276" ht="14.25" customHeight="1">
      <c r="A276" s="38"/>
    </row>
    <row r="277" ht="14.25" customHeight="1">
      <c r="A277" s="38"/>
    </row>
    <row r="278" ht="14.25" customHeight="1">
      <c r="A278" s="38"/>
    </row>
    <row r="279" ht="14.25" customHeight="1">
      <c r="A279" s="38"/>
    </row>
    <row r="280" ht="14.25" customHeight="1">
      <c r="A280" s="38"/>
    </row>
    <row r="281" ht="14.25" customHeight="1">
      <c r="A281" s="38"/>
    </row>
    <row r="282" ht="14.25" customHeight="1">
      <c r="A282" s="38"/>
    </row>
    <row r="283" ht="14.25" customHeight="1">
      <c r="A283" s="38"/>
    </row>
    <row r="284" ht="14.25" customHeight="1">
      <c r="A284" s="38"/>
    </row>
    <row r="285" ht="14.25" customHeight="1">
      <c r="A285" s="38"/>
    </row>
    <row r="286" ht="14.25" customHeight="1">
      <c r="A286" s="38"/>
    </row>
    <row r="287" ht="14.25" customHeight="1">
      <c r="A287" s="38"/>
    </row>
    <row r="288" ht="14.25" customHeight="1">
      <c r="A288" s="38"/>
    </row>
    <row r="289" ht="14.25" customHeight="1">
      <c r="A289" s="38"/>
    </row>
    <row r="290" ht="14.25" customHeight="1">
      <c r="A290" s="38"/>
    </row>
    <row r="291" ht="14.25" customHeight="1">
      <c r="A291" s="38"/>
    </row>
    <row r="292" ht="14.25" customHeight="1">
      <c r="A292" s="38"/>
    </row>
    <row r="293" ht="14.25" customHeight="1">
      <c r="A293" s="38"/>
    </row>
    <row r="294" ht="14.25" customHeight="1">
      <c r="A294" s="38"/>
    </row>
    <row r="295" ht="14.25" customHeight="1">
      <c r="A295" s="38"/>
    </row>
    <row r="296" ht="14.2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2" t="s">
        <v>176</v>
      </c>
      <c r="P2" s="2" t="s">
        <v>100</v>
      </c>
      <c r="Q2" s="2" t="s">
        <v>139</v>
      </c>
      <c r="R2" s="2" t="s">
        <v>212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f>5+5+5+5+5+5+5+5+5+5+5+5+5+5+15+15+5+5+15+5+15+5+5+5+5+5+5+5+5+5+63+5+5+5+5+5+5+5+5+5+5+5+15+15+5+5+5+15+5+5+15+5+5+5+5+5+5+5+5+5+15+5+5+5+5+5+15+5+5+5+5+5+5+15+5+5+5+63+5+5+52.52+5+5+5+5+5+5+5+5+5+5+5+5+5+5+5+5+5+5+15+5</f>
        <v>788.52</v>
      </c>
      <c r="W3" s="10" t="s">
        <v>24</v>
      </c>
      <c r="X3" s="19"/>
      <c r="Y3" s="19"/>
      <c r="Z3" s="19"/>
    </row>
    <row r="4" ht="14.25" customHeight="1">
      <c r="A4" s="34">
        <v>44933.0</v>
      </c>
      <c r="B4" s="10"/>
      <c r="C4" s="40"/>
      <c r="D4" s="19">
        <f>0.5+200+9999.5+49.5</f>
        <v>10249.5</v>
      </c>
      <c r="E4" s="19">
        <f>110+600+600+5000+210+600</f>
        <v>7120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62620+12500+17500</f>
        <v>92620</v>
      </c>
      <c r="W4" s="14" t="s">
        <v>73</v>
      </c>
      <c r="X4" s="19"/>
      <c r="Y4" s="19"/>
      <c r="Z4" s="19"/>
    </row>
    <row r="5" ht="14.25" customHeight="1">
      <c r="A5" s="34">
        <v>44933.0</v>
      </c>
      <c r="B5" s="10"/>
      <c r="C5" s="40"/>
      <c r="D5" s="19"/>
      <c r="E5" s="19">
        <f>3407.93+185.77+379.21</f>
        <v>3972.91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720+4450</f>
        <v>5170</v>
      </c>
      <c r="W5" s="14" t="s">
        <v>45</v>
      </c>
      <c r="X5" s="19"/>
      <c r="Y5" s="19"/>
      <c r="Z5" s="19"/>
    </row>
    <row r="6" ht="14.25" customHeight="1">
      <c r="A6" s="34">
        <v>44933.0</v>
      </c>
      <c r="B6" s="10"/>
      <c r="C6" s="40"/>
      <c r="D6" s="19"/>
      <c r="E6" s="19">
        <f>150+50</f>
        <v>200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394+730</f>
        <v>1124</v>
      </c>
      <c r="W6" s="14" t="s">
        <v>81</v>
      </c>
      <c r="X6" s="19"/>
      <c r="Y6" s="19"/>
      <c r="Z6" s="19"/>
    </row>
    <row r="7" ht="14.25" customHeight="1">
      <c r="A7" s="34">
        <v>44964.0</v>
      </c>
      <c r="B7" s="10"/>
      <c r="C7" s="40"/>
      <c r="D7" s="19">
        <f>9.5+49.5</f>
        <v>59</v>
      </c>
      <c r="E7" s="19">
        <f>240+200</f>
        <v>440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13500+6000+13500</f>
        <v>33000</v>
      </c>
      <c r="W7" s="26" t="s">
        <v>27</v>
      </c>
      <c r="X7" s="19"/>
      <c r="Y7" s="19"/>
      <c r="Z7" s="19"/>
    </row>
    <row r="8" ht="14.25" customHeight="1">
      <c r="A8" s="34">
        <v>44964.0</v>
      </c>
      <c r="B8" s="16"/>
      <c r="C8" s="19"/>
      <c r="D8" s="19"/>
      <c r="E8" s="19">
        <f>4441.23+182.84</f>
        <v>4624.07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>
        <f>715</f>
        <v>715</v>
      </c>
      <c r="W8" s="14" t="s">
        <v>36</v>
      </c>
      <c r="X8" s="19"/>
      <c r="Y8" s="19"/>
      <c r="Z8" s="19"/>
    </row>
    <row r="9" ht="14.25" customHeight="1">
      <c r="A9" s="34">
        <v>44964.0</v>
      </c>
      <c r="B9" s="16"/>
      <c r="C9" s="19"/>
      <c r="D9" s="19"/>
      <c r="E9" s="19">
        <f>700+200+50+100</f>
        <v>1050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f>1853.93</f>
        <v>1853.93</v>
      </c>
      <c r="W9" s="26" t="s">
        <v>105</v>
      </c>
      <c r="X9" s="19"/>
      <c r="Y9" s="19"/>
      <c r="Z9" s="19"/>
    </row>
    <row r="10" ht="14.25" customHeight="1">
      <c r="A10" s="34">
        <v>44992.0</v>
      </c>
      <c r="B10" s="45" t="s">
        <v>26</v>
      </c>
      <c r="C10" s="27">
        <f>17109.35</f>
        <v>17109.35</v>
      </c>
      <c r="D10" s="19">
        <f>2000+0.5+0.5+199.5</f>
        <v>2200.5</v>
      </c>
      <c r="E10" s="19">
        <f>1.2+6000+500+600</f>
        <v>7101.2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>
        <f>90+1576</f>
        <v>1666</v>
      </c>
      <c r="W10" s="26" t="s">
        <v>29</v>
      </c>
      <c r="X10" s="19"/>
      <c r="Y10" s="19"/>
      <c r="Z10" s="19"/>
    </row>
    <row r="11" ht="14.25" customHeight="1">
      <c r="A11" s="34">
        <v>44992.0</v>
      </c>
      <c r="B11" s="16" t="s">
        <v>181</v>
      </c>
      <c r="C11" s="19">
        <f>14730</f>
        <v>14730</v>
      </c>
      <c r="D11" s="19"/>
      <c r="E11" s="19">
        <f>1996.43</f>
        <v>1996.43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f>865.09+4160.64+5327.79</f>
        <v>10353.52</v>
      </c>
      <c r="W11" s="18" t="s">
        <v>183</v>
      </c>
      <c r="X11" s="19"/>
      <c r="Y11" s="19"/>
      <c r="Z11" s="19"/>
    </row>
    <row r="12" ht="14.25" customHeight="1">
      <c r="A12" s="34">
        <v>45023.0</v>
      </c>
      <c r="B12" s="16"/>
      <c r="C12" s="19"/>
      <c r="D12" s="19">
        <f>9.5+0.5+15423.61</f>
        <v>15433.61</v>
      </c>
      <c r="E12" s="19">
        <f>100+300</f>
        <v>400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>640+5760</f>
        <v>6400</v>
      </c>
      <c r="W12" s="26" t="s">
        <v>74</v>
      </c>
      <c r="X12" s="19"/>
      <c r="Y12" s="19"/>
      <c r="Z12" s="19"/>
    </row>
    <row r="13" ht="14.25" customHeight="1">
      <c r="A13" s="34">
        <v>45023.0</v>
      </c>
      <c r="B13" s="16"/>
      <c r="C13" s="19"/>
      <c r="D13" s="19"/>
      <c r="E13" s="19">
        <f>884.44</f>
        <v>884.44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465</f>
        <v>465</v>
      </c>
      <c r="W13" s="26" t="s">
        <v>44</v>
      </c>
      <c r="X13" s="19"/>
      <c r="Y13" s="19"/>
      <c r="Z13" s="19"/>
    </row>
    <row r="14" ht="14.25" customHeight="1">
      <c r="A14" s="34">
        <v>45023.0</v>
      </c>
      <c r="B14" s="16"/>
      <c r="C14" s="19"/>
      <c r="D14" s="19"/>
      <c r="E14" s="19">
        <f>100+1500</f>
        <v>1600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>
        <f>499+1768</f>
        <v>2267</v>
      </c>
      <c r="W14" s="26" t="s">
        <v>59</v>
      </c>
      <c r="X14" s="19"/>
      <c r="Y14" s="19"/>
      <c r="Z14" s="19"/>
    </row>
    <row r="15" ht="14.25" customHeight="1">
      <c r="A15" s="34">
        <v>45053.0</v>
      </c>
      <c r="B15" s="45" t="s">
        <v>104</v>
      </c>
      <c r="C15" s="27">
        <f>35382.31</f>
        <v>35382.31</v>
      </c>
      <c r="D15" s="19">
        <f>0.5+9.5</f>
        <v>10</v>
      </c>
      <c r="E15" s="19">
        <f>240</f>
        <v>240</v>
      </c>
      <c r="F15" s="19"/>
      <c r="G15" s="19"/>
      <c r="H15" s="19">
        <f>22000</f>
        <v>22000</v>
      </c>
      <c r="I15" s="19"/>
      <c r="J15" s="19"/>
      <c r="K15" s="19"/>
      <c r="L15" s="19"/>
      <c r="M15" s="19">
        <f>45150</f>
        <v>45150</v>
      </c>
      <c r="N15" s="19"/>
      <c r="O15" s="19"/>
      <c r="P15" s="19"/>
      <c r="Q15" s="19"/>
      <c r="R15" s="19"/>
      <c r="S15" s="19"/>
      <c r="T15" s="19"/>
      <c r="U15" s="19"/>
      <c r="V15" s="19">
        <f>52783+10500</f>
        <v>63283</v>
      </c>
      <c r="W15" s="26" t="s">
        <v>66</v>
      </c>
      <c r="X15" s="19"/>
      <c r="Y15" s="19"/>
      <c r="Z15" s="19"/>
    </row>
    <row r="16" ht="14.25" customHeight="1">
      <c r="A16" s="34">
        <v>45053.0</v>
      </c>
      <c r="B16" s="10"/>
      <c r="C16" s="7"/>
      <c r="D16" s="19"/>
      <c r="E16" s="19">
        <f>118</f>
        <v>118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>
        <f>79484.89+30768.31+1481.09+573.32+17773.02+6879.87</f>
        <v>136960.5</v>
      </c>
      <c r="S16" s="19"/>
      <c r="T16" s="19"/>
      <c r="U16" s="19"/>
      <c r="V16" s="19">
        <f>12100+4600+16500+10500</f>
        <v>43700</v>
      </c>
      <c r="W16" s="26" t="s">
        <v>90</v>
      </c>
      <c r="X16" s="19"/>
      <c r="Y16" s="19"/>
      <c r="Z16" s="19"/>
    </row>
    <row r="17" ht="14.25" customHeight="1">
      <c r="A17" s="34">
        <v>45084.0</v>
      </c>
      <c r="B17" s="10" t="s">
        <v>181</v>
      </c>
      <c r="C17" s="7">
        <f>1964</f>
        <v>1964</v>
      </c>
      <c r="D17" s="19">
        <f>9.5</f>
        <v>9.5</v>
      </c>
      <c r="E17" s="19">
        <f>280+2+770</f>
        <v>1052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>
        <f>24375+24375</f>
        <v>48750</v>
      </c>
      <c r="W17" s="26" t="s">
        <v>185</v>
      </c>
      <c r="X17" s="19"/>
      <c r="Y17" s="19"/>
      <c r="Z17" s="19"/>
    </row>
    <row r="18" ht="14.25" customHeight="1">
      <c r="A18" s="34">
        <v>45084.0</v>
      </c>
      <c r="B18" s="16"/>
      <c r="C18" s="19"/>
      <c r="D18" s="19"/>
      <c r="E18" s="19">
        <f>4090.74+532.07+3.58</f>
        <v>4626.39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>180000</f>
        <v>180000</v>
      </c>
      <c r="T18" s="19"/>
      <c r="U18" s="19"/>
      <c r="V18" s="19">
        <f>186+2736.8+2239.2+3355.2+4100.8+279.69+316.79+4646.18+16148+13212+4100.8+279.6+3355.2+1101+3801.42+1101+13212+16148+736.19+235.71+8834.22+3457.1+10797.38+2828.54</f>
        <v>117208.82</v>
      </c>
      <c r="W18" s="14" t="s">
        <v>34</v>
      </c>
      <c r="X18" s="19"/>
      <c r="Y18" s="19"/>
      <c r="Z18" s="19"/>
    </row>
    <row r="19" ht="14.25" customHeight="1">
      <c r="A19" s="34">
        <v>45114.0</v>
      </c>
      <c r="B19" s="16"/>
      <c r="C19" s="19"/>
      <c r="D19" s="19"/>
      <c r="E19" s="19">
        <f>600</f>
        <v>600</v>
      </c>
      <c r="F19" s="19"/>
      <c r="G19" s="19"/>
      <c r="H19" s="19"/>
      <c r="I19" s="19"/>
      <c r="J19" s="19"/>
      <c r="K19" s="19"/>
      <c r="L19" s="19"/>
      <c r="M19" s="19"/>
      <c r="N19" s="19"/>
      <c r="O19" s="19">
        <f>28344+35607+20288+57589+47485+21435+34460+35607+1400+36042+28344+28344+21435+14526+28344+12820+12820+12820+14110+36315+12820+29052+28344+42870+42870+34460+36315+21789+29052+14526+27551+29052</f>
        <v>876836</v>
      </c>
      <c r="P19" s="19"/>
      <c r="Q19" s="19"/>
      <c r="R19" s="19"/>
      <c r="S19" s="19"/>
      <c r="T19" s="19"/>
      <c r="U19" s="19"/>
      <c r="V19" s="19"/>
      <c r="W19" s="14"/>
      <c r="X19" s="19"/>
      <c r="Y19" s="19"/>
      <c r="Z19" s="19"/>
    </row>
    <row r="20" ht="14.25" customHeight="1">
      <c r="A20" s="34">
        <v>45114.0</v>
      </c>
      <c r="B20" s="16"/>
      <c r="C20" s="19"/>
      <c r="D20" s="19"/>
      <c r="E20" s="19">
        <f>200+100+100+1100</f>
        <v>1500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10022.25+20004.25+9016+10022.25+10022.25+7502.6+7502.6+8000.09+7502.6+12849.874</f>
        <v>102444.764</v>
      </c>
      <c r="W20" s="14" t="s">
        <v>31</v>
      </c>
      <c r="X20" s="19"/>
      <c r="Y20" s="19"/>
      <c r="Z20" s="19"/>
    </row>
    <row r="21" ht="14.25" customHeight="1">
      <c r="A21" s="34">
        <v>45114.0</v>
      </c>
      <c r="B21" s="7"/>
      <c r="C21" s="19"/>
      <c r="D21" s="19"/>
      <c r="E21" s="19">
        <f>23831.79</f>
        <v>23831.79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>
        <f>7502.6+7502.6+5007.1+5007.1+20004.25+10022.25+10022.25+8000.09+9000.7+7502.6+7502.6+10022.25+9016</f>
        <v>116112.39</v>
      </c>
      <c r="W21" s="10" t="s">
        <v>32</v>
      </c>
      <c r="X21" s="19"/>
      <c r="Y21" s="19"/>
      <c r="Z21" s="19"/>
    </row>
    <row r="22" ht="14.25" customHeight="1">
      <c r="A22" s="34">
        <v>45145.0</v>
      </c>
      <c r="B22" s="16"/>
      <c r="C22" s="19"/>
      <c r="D22" s="19">
        <f>10.5</f>
        <v>10.5</v>
      </c>
      <c r="E22" s="19">
        <f>3</f>
        <v>3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f>6550</f>
        <v>6550</v>
      </c>
      <c r="W22" s="26" t="s">
        <v>65</v>
      </c>
      <c r="X22" s="19"/>
      <c r="Y22" s="19"/>
      <c r="Z22" s="19"/>
    </row>
    <row r="23" ht="14.25" customHeight="1">
      <c r="A23" s="34">
        <v>45145.0</v>
      </c>
      <c r="B23" s="7"/>
      <c r="C23" s="19"/>
      <c r="D23" s="19"/>
      <c r="E23" s="19">
        <f>5165.67</f>
        <v>5165.67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f>549</f>
        <v>549</v>
      </c>
      <c r="W23" s="26" t="s">
        <v>145</v>
      </c>
      <c r="X23" s="19"/>
      <c r="Y23" s="19"/>
      <c r="Z23" s="19"/>
    </row>
    <row r="24" ht="14.25" customHeight="1">
      <c r="A24" s="34">
        <v>45145.0</v>
      </c>
      <c r="B24" s="7"/>
      <c r="C24" s="19"/>
      <c r="D24" s="19"/>
      <c r="E24" s="19">
        <f>500+700</f>
        <v>1200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4"/>
      <c r="X24" s="19"/>
      <c r="Y24" s="19"/>
      <c r="Z24" s="19"/>
    </row>
    <row r="25" ht="14.25" customHeight="1">
      <c r="A25" s="34">
        <v>45176.0</v>
      </c>
      <c r="B25" s="10"/>
      <c r="C25" s="19"/>
      <c r="D25" s="19">
        <f>99.5</f>
        <v>99.5</v>
      </c>
      <c r="E25" s="19">
        <f>2992.99+342.57</f>
        <v>3335.56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f>1253.86</f>
        <v>1253.86</v>
      </c>
      <c r="W25" s="14" t="s">
        <v>187</v>
      </c>
      <c r="X25" s="19"/>
      <c r="Y25" s="19"/>
      <c r="Z25" s="19"/>
    </row>
    <row r="26" ht="14.25" customHeight="1">
      <c r="A26" s="34">
        <v>45176.0</v>
      </c>
      <c r="B26" s="7"/>
      <c r="C26" s="7"/>
      <c r="D26" s="19"/>
      <c r="E26" s="19">
        <f>200</f>
        <v>200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f>3099+349</f>
        <v>3448</v>
      </c>
      <c r="W26" s="26" t="s">
        <v>101</v>
      </c>
      <c r="X26" s="19"/>
      <c r="Y26" s="19"/>
      <c r="Z26" s="19"/>
    </row>
    <row r="27" ht="14.25" customHeight="1">
      <c r="A27" s="34">
        <v>45206.0</v>
      </c>
      <c r="B27" s="7"/>
      <c r="C27" s="7"/>
      <c r="D27" s="19">
        <f>1.5</f>
        <v>1.5</v>
      </c>
      <c r="E27" s="19">
        <f>550+600</f>
        <v>1150</v>
      </c>
      <c r="F27" s="19"/>
      <c r="G27" s="19"/>
      <c r="H27" s="19">
        <f>37600</f>
        <v>37600</v>
      </c>
      <c r="I27" s="19"/>
      <c r="J27" s="19">
        <f>3192500.22+3192500.22</f>
        <v>6385000.44</v>
      </c>
      <c r="K27" s="19"/>
      <c r="L27" s="19"/>
      <c r="M27" s="19"/>
      <c r="N27" s="19"/>
      <c r="O27" s="19">
        <f>34545+36315+29052+21789+42870+28344+50133+28698+21789+40210+42870+14526+139000</f>
        <v>530141</v>
      </c>
      <c r="P27" s="19"/>
      <c r="Q27" s="19"/>
      <c r="R27" s="19"/>
      <c r="S27" s="19"/>
      <c r="T27" s="19"/>
      <c r="U27" s="19"/>
      <c r="V27" s="19">
        <f>2000</f>
        <v>2000</v>
      </c>
      <c r="W27" s="21" t="s">
        <v>80</v>
      </c>
      <c r="X27" s="19"/>
      <c r="Y27" s="19"/>
      <c r="Z27" s="19"/>
    </row>
    <row r="28" ht="14.25" customHeight="1">
      <c r="A28" s="34">
        <v>45206.0</v>
      </c>
      <c r="B28" s="7"/>
      <c r="C28" s="7"/>
      <c r="D28" s="19"/>
      <c r="E28" s="19">
        <f>500+770.94+100</f>
        <v>1370.94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6"/>
      <c r="X28" s="19"/>
      <c r="Y28" s="19"/>
      <c r="Z28" s="19"/>
    </row>
    <row r="29" ht="14.25" customHeight="1">
      <c r="A29" s="34">
        <v>45206.0</v>
      </c>
      <c r="B29" s="7"/>
      <c r="C29" s="7"/>
      <c r="D29" s="19"/>
      <c r="E29" s="19">
        <f>4179.98</f>
        <v>4179.98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49500</f>
        <v>49500</v>
      </c>
      <c r="W29" s="26" t="s">
        <v>71</v>
      </c>
      <c r="X29" s="19"/>
      <c r="Y29" s="19"/>
      <c r="Z29" s="19"/>
    </row>
    <row r="30" ht="14.25" customHeight="1">
      <c r="A30" s="34">
        <v>45237.0</v>
      </c>
      <c r="B30" s="7"/>
      <c r="C30" s="7"/>
      <c r="D30" s="19"/>
      <c r="E30" s="19">
        <f>350.16</f>
        <v>350.16</v>
      </c>
      <c r="F30" s="19"/>
      <c r="G30" s="19"/>
      <c r="H30" s="19">
        <f>58372.5</f>
        <v>58372.5</v>
      </c>
      <c r="I30" s="19"/>
      <c r="J30" s="19"/>
      <c r="K30" s="19">
        <f>1495156.61+469691.77</f>
        <v>1964848.38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X30" s="19"/>
      <c r="Y30" s="19"/>
      <c r="Z30" s="19"/>
    </row>
    <row r="31" ht="14.25" customHeight="1">
      <c r="A31" s="34">
        <v>45237.0</v>
      </c>
      <c r="B31" s="7"/>
      <c r="C31" s="7"/>
      <c r="D31" s="19"/>
      <c r="E31" s="19">
        <f>3000</f>
        <v>3000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>
        <f>408/50</f>
        <v>8.16</v>
      </c>
      <c r="W31" s="26" t="s">
        <v>54</v>
      </c>
      <c r="X31" s="19"/>
      <c r="Y31" s="19"/>
      <c r="Z31" s="19"/>
    </row>
    <row r="32" ht="14.25" customHeight="1">
      <c r="A32" s="34">
        <v>45267.0</v>
      </c>
      <c r="B32" s="16"/>
      <c r="C32" s="19"/>
      <c r="D32" s="19">
        <f>0.5</f>
        <v>0.5</v>
      </c>
      <c r="E32" s="19">
        <f>220+500+220+3300+15.45</f>
        <v>4255.45</v>
      </c>
      <c r="F32" s="19"/>
      <c r="G32" s="19"/>
      <c r="H32" s="19"/>
      <c r="I32" s="19"/>
      <c r="J32" s="19"/>
      <c r="K32" s="19">
        <f>179170.95</f>
        <v>179170.95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X32" s="19"/>
      <c r="Y32" s="19"/>
      <c r="Z32" s="19"/>
    </row>
    <row r="33" ht="14.25" customHeight="1">
      <c r="A33" s="34">
        <v>45267.0</v>
      </c>
      <c r="B33" s="16"/>
      <c r="C33" s="19"/>
      <c r="D33" s="19"/>
      <c r="E33" s="19">
        <f>43.34</f>
        <v>43.34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>
        <f>36000</f>
        <v>36000</v>
      </c>
      <c r="W33" s="26" t="s">
        <v>54</v>
      </c>
      <c r="X33" s="19"/>
      <c r="Y33" s="19"/>
      <c r="Z33" s="19"/>
    </row>
    <row r="34" ht="14.25" customHeight="1">
      <c r="A34" s="35" t="s">
        <v>213</v>
      </c>
      <c r="B34" s="16"/>
      <c r="C34" s="19"/>
      <c r="D34" s="19">
        <f>149.5</f>
        <v>149.5</v>
      </c>
      <c r="E34" s="19">
        <f>1.2+2500+692.25</f>
        <v>3193.45</v>
      </c>
      <c r="F34" s="19"/>
      <c r="G34" s="19"/>
      <c r="H34" s="19"/>
      <c r="I34" s="19"/>
      <c r="J34" s="19"/>
      <c r="K34" s="19">
        <f>1570887.19+286185.62</f>
        <v>1857072.81</v>
      </c>
      <c r="L34" s="19"/>
      <c r="M34" s="19">
        <f>18940+189470+2970+22660</f>
        <v>234040</v>
      </c>
      <c r="N34" s="19"/>
      <c r="O34" s="19"/>
      <c r="P34" s="19"/>
      <c r="Q34" s="19"/>
      <c r="R34" s="19"/>
      <c r="S34" s="19"/>
      <c r="T34" s="19"/>
      <c r="U34" s="19"/>
      <c r="V34" s="19">
        <f>1450</f>
        <v>1450</v>
      </c>
      <c r="W34" s="21" t="s">
        <v>214</v>
      </c>
      <c r="X34" s="19"/>
      <c r="Y34" s="19"/>
      <c r="Z34" s="19"/>
    </row>
    <row r="35" ht="14.25" customHeight="1">
      <c r="A35" s="35" t="s">
        <v>213</v>
      </c>
      <c r="B35" s="16"/>
      <c r="C35" s="19"/>
      <c r="D35" s="19"/>
      <c r="E35" s="19">
        <f>5561.56</f>
        <v>5561.56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X35" s="19"/>
      <c r="Y35" s="19"/>
      <c r="Z35" s="19"/>
    </row>
    <row r="36" ht="14.25" customHeight="1">
      <c r="A36" s="35" t="s">
        <v>215</v>
      </c>
      <c r="B36" s="16"/>
      <c r="C36" s="19"/>
      <c r="D36" s="19">
        <f>107420+24.5+10.5+24.5+49.5+0.5</f>
        <v>107529.5</v>
      </c>
      <c r="E36" s="19">
        <f>300+550+220</f>
        <v>1070</v>
      </c>
      <c r="F36" s="19"/>
      <c r="G36" s="19"/>
      <c r="H36" s="19"/>
      <c r="I36" s="19"/>
      <c r="J36" s="19"/>
      <c r="K36" s="19"/>
      <c r="L36" s="19"/>
      <c r="M36" s="19">
        <f>31549+26520</f>
        <v>58069</v>
      </c>
      <c r="N36" s="19"/>
      <c r="O36" s="19"/>
      <c r="P36" s="19"/>
      <c r="Q36" s="19"/>
      <c r="R36" s="19"/>
      <c r="S36" s="19"/>
      <c r="T36" s="19"/>
      <c r="U36" s="19"/>
      <c r="V36" s="19"/>
      <c r="X36" s="19"/>
      <c r="Y36" s="19"/>
      <c r="Z36" s="19"/>
    </row>
    <row r="37" ht="14.25" customHeight="1">
      <c r="A37" s="35" t="s">
        <v>215</v>
      </c>
      <c r="B37" s="7"/>
      <c r="C37" s="19"/>
      <c r="D37" s="19"/>
      <c r="E37" s="19">
        <f>12221.71+818.41</f>
        <v>13040.12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35" t="s">
        <v>215</v>
      </c>
      <c r="B38" s="10"/>
      <c r="C38" s="19"/>
      <c r="D38" s="19"/>
      <c r="E38" s="19">
        <f>100+500+200</f>
        <v>800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X38" s="19"/>
      <c r="Y38" s="19"/>
      <c r="Z38" s="19"/>
    </row>
    <row r="39" ht="14.25" customHeight="1">
      <c r="A39" s="35" t="s">
        <v>216</v>
      </c>
      <c r="B39" s="10"/>
      <c r="C39" s="19"/>
      <c r="D39" s="19">
        <f>199.5+199.5+300+9.5+0.5</f>
        <v>709</v>
      </c>
      <c r="E39" s="19">
        <f>720+600+24.14</f>
        <v>1344.14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X39" s="19"/>
      <c r="Y39" s="19"/>
      <c r="Z39" s="19"/>
    </row>
    <row r="40" ht="14.25" customHeight="1">
      <c r="A40" s="35" t="s">
        <v>216</v>
      </c>
      <c r="B40" s="10"/>
      <c r="C40" s="19"/>
      <c r="D40" s="19"/>
      <c r="E40" s="19">
        <f>1000</f>
        <v>1000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X40" s="19"/>
      <c r="Y40" s="19"/>
      <c r="Z40" s="19"/>
    </row>
    <row r="41" ht="14.25" customHeight="1">
      <c r="A41" s="35" t="s">
        <v>216</v>
      </c>
      <c r="B41" s="10"/>
      <c r="C41" s="19"/>
      <c r="D41" s="19"/>
      <c r="E41" s="19">
        <f>2415.75+700+150+98.7</f>
        <v>3364.45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X41" s="19"/>
      <c r="Y41" s="19"/>
      <c r="Z41" s="19"/>
    </row>
    <row r="42" ht="14.25" customHeight="1">
      <c r="A42" s="35" t="s">
        <v>217</v>
      </c>
      <c r="B42" s="10"/>
      <c r="C42" s="19"/>
      <c r="D42" s="19">
        <f>2300+9.5</f>
        <v>2309.5</v>
      </c>
      <c r="E42" s="19">
        <f>16500</f>
        <v>16500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</row>
    <row r="43" ht="14.25" customHeight="1">
      <c r="A43" s="35" t="s">
        <v>217</v>
      </c>
      <c r="B43" s="10"/>
      <c r="C43" s="19"/>
      <c r="D43" s="19"/>
      <c r="E43" s="19">
        <f>2000</f>
        <v>2000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X43" s="19"/>
      <c r="Y43" s="19"/>
      <c r="Z43" s="19"/>
    </row>
    <row r="44" ht="14.25" customHeight="1">
      <c r="A44" s="35" t="s">
        <v>217</v>
      </c>
      <c r="B44" s="10"/>
      <c r="C44" s="19"/>
      <c r="D44" s="19"/>
      <c r="E44" s="19">
        <f>6837.48+585.09+217.4</f>
        <v>7639.97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X44" s="19"/>
      <c r="Y44" s="19"/>
      <c r="Z44" s="19"/>
    </row>
    <row r="45" ht="14.25" customHeight="1">
      <c r="A45" s="35" t="s">
        <v>218</v>
      </c>
      <c r="B45" s="10"/>
      <c r="C45" s="19"/>
      <c r="D45" s="19">
        <f>4.5</f>
        <v>4.5</v>
      </c>
      <c r="E45" s="19">
        <f>100+180+100+149.67</f>
        <v>529.67</v>
      </c>
      <c r="F45" s="19"/>
      <c r="G45" s="19"/>
      <c r="H45" s="19">
        <f>37600+173613+1850500</f>
        <v>2061713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X45" s="19"/>
      <c r="Y45" s="19"/>
      <c r="Z45" s="19"/>
    </row>
    <row r="46" ht="14.25" customHeight="1">
      <c r="A46" s="35" t="s">
        <v>218</v>
      </c>
      <c r="B46" s="10"/>
      <c r="C46" s="19"/>
      <c r="D46" s="19"/>
      <c r="E46" s="19">
        <f>100+714.92</f>
        <v>814.92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X46" s="19"/>
      <c r="Y46" s="19"/>
      <c r="Z46" s="19"/>
    </row>
    <row r="47" ht="14.25" customHeight="1">
      <c r="A47" s="35" t="s">
        <v>218</v>
      </c>
      <c r="B47" s="7"/>
      <c r="C47" s="19"/>
      <c r="D47" s="19"/>
      <c r="E47" s="19">
        <f>1662.45+197.4+70</f>
        <v>1929.85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X47" s="19"/>
      <c r="Y47" s="19"/>
      <c r="Z47" s="19"/>
    </row>
    <row r="48" ht="14.25" customHeight="1">
      <c r="A48" s="35" t="s">
        <v>219</v>
      </c>
      <c r="B48" s="16"/>
      <c r="C48" s="19"/>
      <c r="D48" s="19">
        <f>0.5+0.5+0.5</f>
        <v>1.5</v>
      </c>
      <c r="E48" s="19">
        <f>300+600+240+600+280</f>
        <v>2020</v>
      </c>
      <c r="F48" s="19"/>
      <c r="G48" s="19"/>
      <c r="H48" s="19">
        <f>112599.99</f>
        <v>112599.99</v>
      </c>
      <c r="I48" s="19"/>
      <c r="J48" s="19"/>
      <c r="K48" s="19"/>
      <c r="L48" s="19"/>
      <c r="M48" s="19">
        <f>21119.74+41699.98+44600</f>
        <v>107419.72</v>
      </c>
      <c r="N48" s="19"/>
      <c r="O48" s="19"/>
      <c r="P48" s="19"/>
      <c r="Q48" s="19"/>
      <c r="R48" s="19"/>
      <c r="S48" s="19"/>
      <c r="T48" s="19"/>
      <c r="U48" s="19"/>
      <c r="V48" s="19"/>
      <c r="X48" s="19"/>
      <c r="Y48" s="19"/>
      <c r="Z48" s="19"/>
    </row>
    <row r="49" ht="14.25" customHeight="1">
      <c r="A49" s="35" t="s">
        <v>219</v>
      </c>
      <c r="B49" s="16" t="s">
        <v>181</v>
      </c>
      <c r="C49" s="19">
        <f>589.2</f>
        <v>589.2</v>
      </c>
      <c r="D49" s="19"/>
      <c r="E49" s="19">
        <f>530+197.4+100+100+70+100+98.7</f>
        <v>1196.1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X49" s="19"/>
      <c r="Y49" s="19"/>
      <c r="Z49" s="19"/>
    </row>
    <row r="50" ht="14.25" customHeight="1">
      <c r="A50" s="35" t="s">
        <v>219</v>
      </c>
      <c r="B50" s="16"/>
      <c r="C50" s="19"/>
      <c r="D50" s="19"/>
      <c r="E50" s="19">
        <f>742.82</f>
        <v>742.82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X50" s="19"/>
      <c r="Y50" s="19"/>
      <c r="Z50" s="19"/>
    </row>
    <row r="51" ht="14.25" customHeight="1">
      <c r="A51" s="35" t="s">
        <v>220</v>
      </c>
      <c r="B51" s="16"/>
      <c r="C51" s="19"/>
      <c r="D51" s="19">
        <f>9.5+9.5</f>
        <v>19</v>
      </c>
      <c r="E51" s="19">
        <f>300</f>
        <v>300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X51" s="19"/>
      <c r="Y51" s="19"/>
      <c r="Z51" s="19"/>
    </row>
    <row r="52" ht="14.25" customHeight="1">
      <c r="A52" s="35" t="s">
        <v>220</v>
      </c>
      <c r="B52" s="16"/>
      <c r="C52" s="19"/>
      <c r="D52" s="19"/>
      <c r="E52" s="19">
        <f>500+100+493.5</f>
        <v>1093.5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X52" s="19"/>
      <c r="Y52" s="19"/>
      <c r="Z52" s="19"/>
    </row>
    <row r="53" ht="14.25" customHeight="1">
      <c r="A53" s="35" t="s">
        <v>220</v>
      </c>
      <c r="B53" s="10"/>
      <c r="C53" s="19"/>
      <c r="D53" s="19"/>
      <c r="E53" s="19">
        <f>6291</f>
        <v>6291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>48329.34+88937.5</f>
        <v>137266.84</v>
      </c>
      <c r="T53" s="19"/>
      <c r="U53" s="19"/>
      <c r="V53" s="19"/>
      <c r="X53" s="19"/>
      <c r="Y53" s="19"/>
      <c r="Z53" s="19"/>
    </row>
    <row r="54" ht="14.25" customHeight="1">
      <c r="A54" s="35" t="s">
        <v>221</v>
      </c>
      <c r="B54" s="10"/>
      <c r="C54" s="19"/>
      <c r="D54" s="19">
        <f>4.5</f>
        <v>4.5</v>
      </c>
      <c r="E54" s="19">
        <f>2.2+683.47</f>
        <v>685.67</v>
      </c>
      <c r="F54" s="19"/>
      <c r="G54" s="19"/>
      <c r="H54" s="19">
        <f>165000</f>
        <v>165000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>111570</f>
        <v>111570</v>
      </c>
      <c r="T54" s="19"/>
      <c r="U54" s="19"/>
      <c r="V54" s="19"/>
      <c r="X54" s="19"/>
      <c r="Y54" s="19"/>
      <c r="Z54" s="19"/>
    </row>
    <row r="55" ht="14.25" customHeight="1">
      <c r="A55" s="35" t="s">
        <v>221</v>
      </c>
      <c r="B55" s="10"/>
      <c r="C55" s="19"/>
      <c r="D55" s="19"/>
      <c r="E55" s="19">
        <f>5592.85+166.96</f>
        <v>5759.81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X55" s="19"/>
      <c r="Y55" s="19"/>
      <c r="Z55" s="19"/>
    </row>
    <row r="56" ht="14.25" customHeight="1">
      <c r="A56" s="35" t="s">
        <v>221</v>
      </c>
      <c r="B56" s="10"/>
      <c r="C56" s="19"/>
      <c r="D56" s="19"/>
      <c r="E56" s="19">
        <f>200+500</f>
        <v>700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X56" s="19"/>
      <c r="Y56" s="19"/>
      <c r="Z56" s="19"/>
    </row>
    <row r="57" ht="14.25" customHeight="1">
      <c r="A57" s="35" t="s">
        <v>222</v>
      </c>
      <c r="C57" s="19"/>
      <c r="D57" s="19">
        <f>0.5</f>
        <v>0.5</v>
      </c>
      <c r="E57" s="19">
        <f>2.2+240</f>
        <v>242.2</v>
      </c>
      <c r="F57" s="19"/>
      <c r="G57" s="19"/>
      <c r="H57" s="19"/>
      <c r="I57" s="19"/>
      <c r="J57" s="19"/>
      <c r="K57" s="19"/>
      <c r="L57" s="19"/>
      <c r="M57" s="19">
        <f>10675.1+8569.14</f>
        <v>19244.24</v>
      </c>
      <c r="N57" s="19"/>
      <c r="O57" s="19"/>
      <c r="P57" s="19"/>
      <c r="Q57" s="19"/>
      <c r="R57" s="19">
        <f>16250</f>
        <v>16250</v>
      </c>
      <c r="S57" s="19"/>
      <c r="T57" s="19"/>
      <c r="U57" s="19"/>
      <c r="V57" s="19"/>
      <c r="X57" s="19"/>
      <c r="Y57" s="19"/>
      <c r="Z57" s="19"/>
    </row>
    <row r="58" ht="14.25" customHeight="1">
      <c r="A58" s="35" t="s">
        <v>222</v>
      </c>
      <c r="B58" s="10"/>
      <c r="C58" s="19"/>
      <c r="D58" s="19"/>
      <c r="E58" s="19">
        <f>196.46+756.97</f>
        <v>953.43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X58" s="19"/>
      <c r="Y58" s="19"/>
      <c r="Z58" s="19"/>
    </row>
    <row r="59" ht="14.25" customHeight="1">
      <c r="A59" s="35" t="s">
        <v>222</v>
      </c>
      <c r="B59" s="10"/>
      <c r="C59" s="19"/>
      <c r="D59" s="19"/>
      <c r="E59" s="19">
        <f>4172.91+100+500</f>
        <v>4772.91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X59" s="19"/>
      <c r="Y59" s="19"/>
      <c r="Z59" s="19"/>
    </row>
    <row r="60" ht="14.25" customHeight="1">
      <c r="A60" s="35" t="s">
        <v>223</v>
      </c>
      <c r="B60" s="10"/>
      <c r="C60" s="19"/>
      <c r="D60" s="19">
        <f>0.5+9.5+0.5</f>
        <v>10.5</v>
      </c>
      <c r="E60" s="19">
        <f>140+1.2+2.93</f>
        <v>144.13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X60" s="19"/>
      <c r="Y60" s="19"/>
      <c r="Z60" s="19"/>
    </row>
    <row r="61" ht="14.25" customHeight="1">
      <c r="A61" s="35" t="s">
        <v>223</v>
      </c>
      <c r="B61" s="10"/>
      <c r="C61" s="19"/>
      <c r="D61" s="19"/>
      <c r="E61" s="19">
        <f>2411.33</f>
        <v>2411.33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X61" s="19"/>
      <c r="Y61" s="19"/>
      <c r="Z61" s="19"/>
    </row>
    <row r="62" ht="14.25" customHeight="1">
      <c r="A62" s="35" t="s">
        <v>223</v>
      </c>
      <c r="B62" s="10"/>
      <c r="C62" s="19"/>
      <c r="D62" s="19"/>
      <c r="E62" s="19">
        <f>3000+500+1000</f>
        <v>4500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X62" s="19"/>
      <c r="Y62" s="19"/>
      <c r="Z62" s="19"/>
    </row>
    <row r="63" ht="14.25" customHeight="1">
      <c r="A63" s="35" t="s">
        <v>224</v>
      </c>
      <c r="B63" s="10"/>
      <c r="C63" s="19"/>
      <c r="D63" s="19">
        <f>20.5</f>
        <v>20.5</v>
      </c>
      <c r="E63" s="19">
        <f>3.6+6+240+120+220+36.57</f>
        <v>626.17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X63" s="19"/>
      <c r="Y63" s="19"/>
      <c r="Z63" s="19"/>
    </row>
    <row r="64" ht="14.25" customHeight="1">
      <c r="A64" s="35" t="s">
        <v>224</v>
      </c>
      <c r="B64" s="10"/>
      <c r="C64" s="19"/>
      <c r="D64" s="19"/>
      <c r="E64" s="19">
        <f>1460.38</f>
        <v>1460.38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X64" s="19"/>
      <c r="Y64" s="19"/>
      <c r="Z64" s="19"/>
    </row>
    <row r="65" ht="14.25" customHeight="1">
      <c r="A65" s="35" t="s">
        <v>225</v>
      </c>
      <c r="B65" s="10" t="s">
        <v>226</v>
      </c>
      <c r="C65" s="19">
        <f>20332.15</f>
        <v>20332.15</v>
      </c>
      <c r="D65" s="19">
        <f>0.5+240</f>
        <v>240.5</v>
      </c>
      <c r="E65" s="19">
        <f>120+330+5+5606.75+60</f>
        <v>6121.75</v>
      </c>
      <c r="F65" s="19"/>
      <c r="G65" s="19"/>
      <c r="H65" s="19"/>
      <c r="I65" s="19">
        <f>349440</f>
        <v>349440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X65" s="19"/>
      <c r="Y65" s="19"/>
      <c r="Z65" s="19"/>
    </row>
    <row r="66" ht="14.25" customHeight="1">
      <c r="A66" s="35" t="s">
        <v>225</v>
      </c>
      <c r="B66" s="10" t="s">
        <v>181</v>
      </c>
      <c r="C66" s="19">
        <v>1374.8</v>
      </c>
      <c r="D66" s="19">
        <f>19000</f>
        <v>19000</v>
      </c>
      <c r="E66" s="19">
        <f>2729.58</f>
        <v>2729.58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X66" s="19"/>
      <c r="Y66" s="19"/>
      <c r="Z66" s="19"/>
    </row>
    <row r="67" ht="14.25" customHeight="1">
      <c r="A67" s="35" t="s">
        <v>225</v>
      </c>
      <c r="B67" s="10"/>
      <c r="C67" s="19"/>
      <c r="D67" s="19"/>
      <c r="E67" s="19">
        <f>100+192</f>
        <v>292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X67" s="19"/>
      <c r="Y67" s="19"/>
      <c r="Z67" s="19"/>
    </row>
    <row r="68" ht="14.25" customHeight="1">
      <c r="A68" s="35" t="s">
        <v>227</v>
      </c>
      <c r="B68" s="10"/>
      <c r="C68" s="19"/>
      <c r="D68" s="19">
        <f>99.5+99.5+0.5+0.5+0.5+99.5</f>
        <v>300</v>
      </c>
      <c r="E68" s="19">
        <f>50+55</f>
        <v>105</v>
      </c>
      <c r="F68" s="19"/>
      <c r="G68" s="19"/>
      <c r="H68" s="19"/>
      <c r="I68" s="19"/>
      <c r="J68" s="19"/>
      <c r="K68" s="19"/>
      <c r="L68" s="19"/>
      <c r="M68" s="19">
        <f>57328+8900+18800</f>
        <v>85028</v>
      </c>
      <c r="N68" s="19"/>
      <c r="O68" s="19"/>
      <c r="P68" s="19"/>
      <c r="Q68" s="19"/>
      <c r="R68" s="19">
        <f>2898+780</f>
        <v>3678</v>
      </c>
      <c r="S68" s="19"/>
      <c r="T68" s="19"/>
      <c r="U68" s="19"/>
      <c r="V68" s="19"/>
      <c r="W68" s="10"/>
      <c r="X68" s="19"/>
      <c r="Y68" s="19"/>
      <c r="Z68" s="19"/>
    </row>
    <row r="69" ht="14.25" customHeight="1">
      <c r="A69" s="35" t="s">
        <v>227</v>
      </c>
      <c r="B69" s="10" t="s">
        <v>181</v>
      </c>
      <c r="C69" s="19">
        <f>196.4</f>
        <v>196.4</v>
      </c>
      <c r="D69" s="19"/>
      <c r="E69" s="19">
        <f>5000+342.87</f>
        <v>5342.87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0"/>
      <c r="X69" s="19"/>
      <c r="Y69" s="19"/>
      <c r="Z69" s="19"/>
    </row>
    <row r="70" ht="14.25" customHeight="1">
      <c r="A70" s="35" t="s">
        <v>227</v>
      </c>
      <c r="B70" s="10"/>
      <c r="C70" s="19"/>
      <c r="D70" s="19"/>
      <c r="E70" s="19">
        <f>1724.6</f>
        <v>1724.6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0"/>
      <c r="X70" s="19"/>
      <c r="Y70" s="19"/>
      <c r="Z70" s="19"/>
    </row>
    <row r="71" ht="14.25" customHeight="1">
      <c r="A71" s="35" t="s">
        <v>228</v>
      </c>
      <c r="B71" s="10"/>
      <c r="C71" s="19"/>
      <c r="D71" s="19">
        <f>199.5+978</f>
        <v>1177.5</v>
      </c>
      <c r="E71" s="19">
        <f>600+60+6+100+55+240+600+98.7</f>
        <v>1759.7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0"/>
      <c r="X71" s="19"/>
      <c r="Y71" s="19"/>
      <c r="Z71" s="19"/>
    </row>
    <row r="72" ht="14.25" customHeight="1">
      <c r="A72" s="35" t="s">
        <v>228</v>
      </c>
      <c r="B72" s="10" t="s">
        <v>181</v>
      </c>
      <c r="C72" s="19">
        <f>982</f>
        <v>982</v>
      </c>
      <c r="D72" s="19"/>
      <c r="E72" s="19">
        <f>6188.04</f>
        <v>6188.04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0"/>
      <c r="X72" s="19"/>
      <c r="Y72" s="19"/>
      <c r="Z72" s="19"/>
    </row>
    <row r="73" ht="14.25" customHeight="1">
      <c r="A73" s="35" t="s">
        <v>228</v>
      </c>
      <c r="B73" s="1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0"/>
      <c r="X73" s="19"/>
      <c r="Y73" s="19"/>
      <c r="Z73" s="19"/>
    </row>
    <row r="74" ht="14.25" customHeight="1">
      <c r="A74" s="35" t="s">
        <v>229</v>
      </c>
      <c r="B74" s="10" t="s">
        <v>230</v>
      </c>
      <c r="C74" s="19">
        <f>202279</f>
        <v>202279</v>
      </c>
      <c r="D74" s="19">
        <f>150+490+147+5000+99.5+499.5+1000+499.5+99.5</f>
        <v>7985</v>
      </c>
      <c r="E74" s="19">
        <f>120+6+360+72</f>
        <v>558</v>
      </c>
      <c r="F74" s="19"/>
      <c r="G74" s="19"/>
      <c r="H74" s="19">
        <f>8200</f>
        <v>8200</v>
      </c>
      <c r="I74" s="19"/>
      <c r="J74" s="19"/>
      <c r="K74" s="19"/>
      <c r="L74" s="19"/>
      <c r="M74" s="19">
        <f>265714.2</f>
        <v>265714.2</v>
      </c>
      <c r="N74" s="19"/>
      <c r="O74" s="19"/>
      <c r="P74" s="19"/>
      <c r="Q74" s="19"/>
      <c r="R74" s="19">
        <f>1000</f>
        <v>1000</v>
      </c>
      <c r="S74" s="19"/>
      <c r="T74" s="19"/>
      <c r="U74" s="19"/>
      <c r="V74" s="19"/>
      <c r="W74" s="10"/>
      <c r="X74" s="19"/>
      <c r="Y74" s="19"/>
      <c r="Z74" s="19"/>
    </row>
    <row r="75" ht="14.25" customHeight="1">
      <c r="A75" s="35" t="s">
        <v>229</v>
      </c>
      <c r="B75" s="10"/>
      <c r="C75" s="19"/>
      <c r="D75" s="19"/>
      <c r="E75" s="19">
        <f>268022.66</f>
        <v>268022.66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0"/>
      <c r="X75" s="19"/>
      <c r="Y75" s="19"/>
      <c r="Z75" s="19"/>
    </row>
    <row r="76" ht="14.25" customHeight="1">
      <c r="A76" s="35" t="s">
        <v>229</v>
      </c>
      <c r="B76" s="10"/>
      <c r="C76" s="19"/>
      <c r="D76" s="19"/>
      <c r="E76" s="19">
        <f>98.7</f>
        <v>98.7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4.25" customHeight="1">
      <c r="A77" s="35" t="s">
        <v>231</v>
      </c>
      <c r="B77" s="10"/>
      <c r="C77" s="19"/>
      <c r="D77" s="19">
        <f>3999.5+99.5+442+499.5+10000+9.5</f>
        <v>15050</v>
      </c>
      <c r="E77" s="19">
        <f>10+55+7+2000+330+1.2+220+600+36+480+120</f>
        <v>3859.2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0"/>
      <c r="X77" s="19"/>
      <c r="Y77" s="19"/>
      <c r="Z77" s="19"/>
    </row>
    <row r="78" ht="14.25" customHeight="1">
      <c r="A78" s="35" t="s">
        <v>231</v>
      </c>
      <c r="B78" s="10"/>
      <c r="C78" s="19"/>
      <c r="D78" s="19"/>
      <c r="E78" s="19">
        <f>3379.33+500+300+246.75+50+50</f>
        <v>4526.08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0"/>
      <c r="X78" s="19"/>
      <c r="Y78" s="19"/>
      <c r="Z78" s="19"/>
    </row>
    <row r="79" ht="14.25" customHeight="1">
      <c r="A79" s="35" t="s">
        <v>231</v>
      </c>
      <c r="B79" s="10"/>
      <c r="C79" s="19"/>
      <c r="D79" s="19"/>
      <c r="E79" s="19">
        <f>389.72</f>
        <v>389.72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>49276</f>
        <v>49276</v>
      </c>
      <c r="S79" s="19"/>
      <c r="T79" s="19"/>
      <c r="U79" s="19"/>
      <c r="V79" s="19"/>
      <c r="W79" s="10"/>
      <c r="X79" s="19"/>
      <c r="Y79" s="19"/>
      <c r="Z79" s="19"/>
    </row>
    <row r="80" ht="14.25" customHeight="1">
      <c r="A80" s="35" t="s">
        <v>232</v>
      </c>
      <c r="B80" s="10"/>
      <c r="C80" s="19"/>
      <c r="D80" s="19">
        <f>100+1300</f>
        <v>1400</v>
      </c>
      <c r="E80" s="19">
        <f>500+50+280+104.4+500</f>
        <v>1434.4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0"/>
      <c r="X80" s="19"/>
      <c r="Y80" s="19"/>
      <c r="Z80" s="19"/>
    </row>
    <row r="81" ht="14.25" customHeight="1">
      <c r="A81" s="35" t="s">
        <v>232</v>
      </c>
      <c r="B81" s="10"/>
      <c r="C81" s="19"/>
      <c r="D81" s="19"/>
      <c r="E81" s="19">
        <f>3475.64+323.27</f>
        <v>3798.91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0"/>
      <c r="X81" s="19"/>
      <c r="Y81" s="19"/>
      <c r="Z81" s="19"/>
    </row>
    <row r="82" ht="14.25" customHeight="1">
      <c r="A82" s="35" t="s">
        <v>232</v>
      </c>
      <c r="B82" s="19"/>
      <c r="C82" s="19"/>
      <c r="D82" s="19"/>
      <c r="E82" s="19">
        <f>50+197.4+700</f>
        <v>947.4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X82" s="19"/>
      <c r="Y82" s="19"/>
      <c r="Z82" s="19"/>
    </row>
    <row r="83" ht="14.25" customHeight="1">
      <c r="A83" s="35" t="s">
        <v>233</v>
      </c>
      <c r="B83" s="19"/>
      <c r="C83" s="19"/>
      <c r="D83" s="19">
        <f>9.5+99.5</f>
        <v>109</v>
      </c>
      <c r="E83" s="19">
        <f>24+550+240+60+6+100+23.1+17910.35</f>
        <v>18913.45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X83" s="19"/>
      <c r="Y83" s="19"/>
      <c r="Z83" s="19"/>
    </row>
    <row r="84" ht="14.25" customHeight="1">
      <c r="A84" s="35" t="s">
        <v>233</v>
      </c>
      <c r="B84" s="19"/>
      <c r="C84" s="19"/>
      <c r="D84" s="19"/>
      <c r="E84" s="19">
        <f>3056.63</f>
        <v>3056.63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X84" s="19"/>
      <c r="Y84" s="19"/>
      <c r="Z84" s="19"/>
    </row>
    <row r="85" ht="14.25" customHeight="1">
      <c r="A85" s="35" t="s">
        <v>233</v>
      </c>
      <c r="B85" s="19"/>
      <c r="C85" s="19"/>
      <c r="D85" s="19"/>
      <c r="E85" s="19">
        <f>100+100+50+30</f>
        <v>280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X85" s="19"/>
      <c r="Y85" s="19"/>
      <c r="Z85" s="19"/>
    </row>
    <row r="86" ht="14.25" customHeight="1">
      <c r="A86" s="46" t="s">
        <v>234</v>
      </c>
      <c r="B86" s="10" t="s">
        <v>235</v>
      </c>
      <c r="C86" s="19">
        <v>4500.0</v>
      </c>
      <c r="D86" s="19">
        <f>49.5+1760.4+999.5+9.5</f>
        <v>2818.9</v>
      </c>
      <c r="E86" s="19">
        <f>6+120+1100</f>
        <v>1226</v>
      </c>
      <c r="F86" s="19"/>
      <c r="G86" s="19">
        <f>20.38</f>
        <v>20.38</v>
      </c>
      <c r="H86" s="19">
        <f>369446+25730+66170</f>
        <v>461346</v>
      </c>
      <c r="I86" s="19"/>
      <c r="J86" s="19"/>
      <c r="K86" s="19">
        <f>743865.12</f>
        <v>743865.12</v>
      </c>
      <c r="L86" s="19"/>
      <c r="M86" s="19">
        <f>4800</f>
        <v>4800</v>
      </c>
      <c r="N86" s="19"/>
      <c r="O86" s="19"/>
      <c r="P86" s="19"/>
      <c r="Q86" s="19"/>
      <c r="R86" s="19">
        <f>349</f>
        <v>349</v>
      </c>
      <c r="S86" s="19"/>
      <c r="T86" s="19"/>
      <c r="U86" s="19"/>
      <c r="V86" s="19"/>
      <c r="X86" s="19"/>
      <c r="Y86" s="19"/>
      <c r="Z86" s="19"/>
    </row>
    <row r="87" ht="14.25" customHeight="1">
      <c r="A87" s="46" t="s">
        <v>234</v>
      </c>
      <c r="B87" s="19"/>
      <c r="C87" s="19"/>
      <c r="D87" s="19"/>
      <c r="E87" s="19">
        <f>3515.99+8.05+8335.35</f>
        <v>11859.39</v>
      </c>
      <c r="F87" s="19"/>
      <c r="G87" s="19"/>
      <c r="H87" s="19"/>
      <c r="I87" s="19"/>
      <c r="J87" s="19"/>
      <c r="K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X87" s="19"/>
      <c r="Y87" s="19"/>
      <c r="Z87" s="19"/>
    </row>
    <row r="88" ht="14.25" customHeight="1">
      <c r="A88" s="46" t="s">
        <v>234</v>
      </c>
      <c r="B88" s="10"/>
      <c r="C88" s="19"/>
      <c r="D88" s="19"/>
      <c r="E88" s="19">
        <f>491.96+98.7+50+200</f>
        <v>840.66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X88" s="19"/>
      <c r="Y88" s="19"/>
      <c r="Z88" s="19"/>
    </row>
    <row r="89" ht="14.25" customHeight="1">
      <c r="A89" s="35"/>
    </row>
    <row r="90" ht="14.25" customHeight="1">
      <c r="A90" s="37" t="s">
        <v>50</v>
      </c>
      <c r="B90" s="24"/>
      <c r="C90" s="24">
        <f>SUM(C4:C89)</f>
        <v>299439.21</v>
      </c>
      <c r="D90" s="24">
        <f t="shared" ref="D90:V90" si="1">SUM(D3:D89)</f>
        <v>186913.51</v>
      </c>
      <c r="E90" s="24">
        <f t="shared" si="1"/>
        <v>522373.65</v>
      </c>
      <c r="F90" s="24">
        <f t="shared" si="1"/>
        <v>0</v>
      </c>
      <c r="G90" s="24">
        <f t="shared" si="1"/>
        <v>20.38</v>
      </c>
      <c r="H90" s="24">
        <f t="shared" si="1"/>
        <v>2926831.49</v>
      </c>
      <c r="I90" s="24">
        <f t="shared" si="1"/>
        <v>349440</v>
      </c>
      <c r="J90" s="24">
        <f t="shared" si="1"/>
        <v>6385000.44</v>
      </c>
      <c r="K90" s="24">
        <f t="shared" si="1"/>
        <v>4744957.26</v>
      </c>
      <c r="L90" s="24">
        <f t="shared" si="1"/>
        <v>0</v>
      </c>
      <c r="M90" s="24">
        <f t="shared" si="1"/>
        <v>819465.16</v>
      </c>
      <c r="N90" s="24">
        <f t="shared" si="1"/>
        <v>0</v>
      </c>
      <c r="O90" s="24">
        <f t="shared" si="1"/>
        <v>1406977</v>
      </c>
      <c r="P90" s="24">
        <f t="shared" si="1"/>
        <v>0</v>
      </c>
      <c r="Q90" s="24">
        <f t="shared" si="1"/>
        <v>0</v>
      </c>
      <c r="R90" s="24">
        <f t="shared" si="1"/>
        <v>207513.5</v>
      </c>
      <c r="S90" s="24">
        <f t="shared" si="1"/>
        <v>428836.84</v>
      </c>
      <c r="T90" s="24">
        <f t="shared" si="1"/>
        <v>0</v>
      </c>
      <c r="U90" s="24">
        <f t="shared" si="1"/>
        <v>0</v>
      </c>
      <c r="V90" s="24">
        <f t="shared" si="1"/>
        <v>748680.964</v>
      </c>
      <c r="W90" s="25"/>
      <c r="X90" s="25"/>
      <c r="Y90" s="25"/>
      <c r="Z90" s="25"/>
    </row>
    <row r="91" ht="14.25" customHeight="1">
      <c r="A91" s="38"/>
    </row>
    <row r="92" ht="14.25" customHeight="1">
      <c r="A92" s="38"/>
      <c r="B92" s="41" t="s">
        <v>236</v>
      </c>
      <c r="C92" s="7"/>
    </row>
    <row r="93" ht="14.25" customHeight="1">
      <c r="A93" s="38"/>
      <c r="B93" s="42" t="s">
        <v>237</v>
      </c>
      <c r="C93" s="7"/>
    </row>
    <row r="94" ht="14.25" customHeight="1">
      <c r="A94" s="38"/>
      <c r="B94" s="43" t="s">
        <v>238</v>
      </c>
    </row>
    <row r="95" ht="14.25" customHeight="1">
      <c r="A95" s="38"/>
      <c r="B95" s="44" t="s">
        <v>239</v>
      </c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4.25" customHeight="1">
      <c r="A267" s="38"/>
    </row>
    <row r="268" ht="14.25" customHeight="1">
      <c r="A268" s="38"/>
    </row>
    <row r="269" ht="14.25" customHeight="1">
      <c r="A269" s="38"/>
    </row>
    <row r="270" ht="14.25" customHeight="1">
      <c r="A270" s="38"/>
    </row>
    <row r="271" ht="14.25" customHeight="1">
      <c r="A271" s="38"/>
    </row>
    <row r="272" ht="14.25" customHeight="1">
      <c r="A272" s="38"/>
    </row>
    <row r="273" ht="14.25" customHeight="1">
      <c r="A273" s="38"/>
    </row>
    <row r="274" ht="14.25" customHeight="1">
      <c r="A274" s="38"/>
    </row>
    <row r="275" ht="14.25" customHeight="1">
      <c r="A275" s="38"/>
    </row>
    <row r="276" ht="14.25" customHeight="1">
      <c r="A276" s="38"/>
    </row>
    <row r="277" ht="14.25" customHeight="1">
      <c r="A277" s="38"/>
    </row>
    <row r="278" ht="14.25" customHeight="1">
      <c r="A278" s="38"/>
    </row>
    <row r="279" ht="14.25" customHeight="1">
      <c r="A279" s="38"/>
    </row>
    <row r="280" ht="14.25" customHeight="1">
      <c r="A280" s="38"/>
    </row>
    <row r="281" ht="14.25" customHeight="1">
      <c r="A281" s="38"/>
    </row>
    <row r="282" ht="14.25" customHeight="1">
      <c r="A282" s="38"/>
    </row>
    <row r="283" ht="14.25" customHeight="1">
      <c r="A283" s="38"/>
    </row>
    <row r="284" ht="14.25" customHeight="1">
      <c r="A284" s="38"/>
    </row>
    <row r="285" ht="14.25" customHeight="1">
      <c r="A285" s="38"/>
    </row>
    <row r="286" ht="14.25" customHeight="1">
      <c r="A286" s="38"/>
    </row>
    <row r="287" ht="14.25" customHeight="1">
      <c r="A287" s="38"/>
    </row>
    <row r="288" ht="14.25" customHeight="1">
      <c r="A288" s="38"/>
    </row>
    <row r="289" ht="14.25" customHeight="1">
      <c r="A289" s="38"/>
    </row>
    <row r="290" ht="14.25" customHeight="1">
      <c r="A290" s="38"/>
    </row>
    <row r="291" ht="14.25" customHeight="1">
      <c r="A291" s="38"/>
    </row>
    <row r="292" ht="14.25" customHeight="1">
      <c r="A292" s="38"/>
    </row>
    <row r="293" ht="14.25" customHeight="1">
      <c r="A293" s="38"/>
    </row>
    <row r="294" ht="14.25" customHeight="1">
      <c r="A294" s="38"/>
    </row>
    <row r="295" ht="14.2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2" t="s">
        <v>176</v>
      </c>
      <c r="P2" s="2" t="s">
        <v>100</v>
      </c>
      <c r="Q2" s="2" t="s">
        <v>139</v>
      </c>
      <c r="R2" s="2" t="s">
        <v>212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34"/>
      <c r="B3" s="1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f>15+5+5+5+5+5+15+5+5+15+5+5+5+5+5+5+5+5+5+5+15+5+5+5+5+5+5+5+5+5+5+5+5+5+5+5+5+5+5+5+5+5+63+52.52+5+5+5+5+5+5+5+5+5+5+5+5+5+5+5+5+5+5+5+5+5+5+5+5+5+15+15+15+15+5+5+5+5+5+5+63+5+5+52.52+5+5+5+5+5+5+5+5+5+5+5+5+5+5+5+15+5+5+5+5+5+15+15+15+5+5+5+15+5+5+5+15+15+5+5+15+15+15+15+15+15+15+15+15+5+5</f>
        <v>1096.04</v>
      </c>
      <c r="W3" s="10" t="s">
        <v>24</v>
      </c>
      <c r="X3" s="19"/>
      <c r="Y3" s="19"/>
      <c r="Z3" s="19"/>
    </row>
    <row r="4" ht="14.25" customHeight="1">
      <c r="A4" s="34">
        <v>44934.0</v>
      </c>
      <c r="B4" s="10"/>
      <c r="C4" s="40"/>
      <c r="D4" s="19">
        <f>50</f>
        <v>50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>
        <f>50719+10000+12500+17500</f>
        <v>90719</v>
      </c>
      <c r="W4" s="14" t="s">
        <v>73</v>
      </c>
      <c r="X4" s="19"/>
      <c r="Y4" s="19"/>
      <c r="Z4" s="19"/>
    </row>
    <row r="5" ht="14.25" customHeight="1">
      <c r="A5" s="34">
        <v>44934.0</v>
      </c>
      <c r="B5" s="10" t="s">
        <v>79</v>
      </c>
      <c r="C5" s="40">
        <f>982</f>
        <v>982</v>
      </c>
      <c r="D5" s="19">
        <f>49.5+2428+300</f>
        <v>2777.5</v>
      </c>
      <c r="E5" s="19">
        <f>600+220+5000+600+240+200</f>
        <v>6860</v>
      </c>
      <c r="F5" s="19"/>
      <c r="G5" s="19"/>
      <c r="H5" s="19">
        <f>1593000.01</f>
        <v>1593000.01</v>
      </c>
      <c r="I5" s="19"/>
      <c r="J5" s="19"/>
      <c r="K5" s="19"/>
      <c r="L5" s="19"/>
      <c r="M5" s="19"/>
      <c r="N5" s="19"/>
      <c r="O5" s="19"/>
      <c r="P5" s="19"/>
      <c r="Q5" s="19"/>
      <c r="R5" s="19">
        <f>800+525.61+6904.8+2672.93</f>
        <v>10903.34</v>
      </c>
      <c r="S5" s="19"/>
      <c r="T5" s="19"/>
      <c r="U5" s="19"/>
      <c r="V5" s="19">
        <f>3782.85+720</f>
        <v>4502.85</v>
      </c>
      <c r="W5" s="14" t="s">
        <v>45</v>
      </c>
      <c r="X5" s="19"/>
      <c r="Y5" s="19"/>
      <c r="Z5" s="19"/>
    </row>
    <row r="6" ht="14.25" customHeight="1">
      <c r="A6" s="34">
        <v>44965.0</v>
      </c>
      <c r="B6" s="47" t="s">
        <v>240</v>
      </c>
      <c r="C6" s="39">
        <f>11478.15</f>
        <v>11478.15</v>
      </c>
      <c r="D6" s="19">
        <f>5000</f>
        <v>5000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f>827+1107+240+726+10415</f>
        <v>13315</v>
      </c>
      <c r="W6" s="14" t="s">
        <v>81</v>
      </c>
      <c r="X6" s="19"/>
      <c r="Y6" s="19"/>
      <c r="Z6" s="19"/>
    </row>
    <row r="7" ht="14.25" customHeight="1">
      <c r="A7" s="34">
        <v>44965.0</v>
      </c>
      <c r="B7" s="47" t="s">
        <v>26</v>
      </c>
      <c r="C7" s="39">
        <f>5442.5</f>
        <v>5442.5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>
        <f>1500+13500+13500</f>
        <v>28500</v>
      </c>
      <c r="W7" s="26" t="s">
        <v>27</v>
      </c>
      <c r="X7" s="19"/>
      <c r="Y7" s="19"/>
      <c r="Z7" s="19"/>
    </row>
    <row r="8" ht="14.25" customHeight="1">
      <c r="A8" s="34">
        <v>44965.0</v>
      </c>
      <c r="B8" s="45" t="s">
        <v>26</v>
      </c>
      <c r="C8" s="27">
        <f>6301.5</f>
        <v>6301.5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f>79484.9+17773.02+1481.08</f>
        <v>98739</v>
      </c>
      <c r="S8" s="19"/>
      <c r="T8" s="19"/>
      <c r="U8" s="19"/>
      <c r="V8" s="19">
        <f>715</f>
        <v>715</v>
      </c>
      <c r="W8" s="14" t="s">
        <v>36</v>
      </c>
      <c r="X8" s="19"/>
      <c r="Y8" s="19"/>
      <c r="Z8" s="19"/>
    </row>
    <row r="9" ht="14.25" customHeight="1">
      <c r="A9" s="34">
        <v>44965.0</v>
      </c>
      <c r="B9" s="16"/>
      <c r="C9" s="19"/>
      <c r="D9" s="19">
        <f>100</f>
        <v>100</v>
      </c>
      <c r="E9" s="19">
        <f>55+240+6+240</f>
        <v>541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f>1853.93</f>
        <v>1853.93</v>
      </c>
      <c r="W9" s="26" t="s">
        <v>105</v>
      </c>
      <c r="X9" s="19"/>
      <c r="Y9" s="19"/>
      <c r="Z9" s="19"/>
    </row>
    <row r="10" ht="14.25" customHeight="1">
      <c r="A10" s="34">
        <v>44993.0</v>
      </c>
      <c r="B10" s="16"/>
      <c r="C10" s="19"/>
      <c r="D10" s="19">
        <f>2624.07+228.55+64.63+100</f>
        <v>3017.25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>
        <f>1576+90</f>
        <v>1666</v>
      </c>
      <c r="W10" s="26" t="s">
        <v>29</v>
      </c>
      <c r="X10" s="19"/>
      <c r="Y10" s="19"/>
      <c r="Z10" s="19"/>
    </row>
    <row r="11" ht="14.25" customHeight="1">
      <c r="A11" s="34">
        <v>44993.0</v>
      </c>
      <c r="B11" s="16"/>
      <c r="C11" s="19"/>
      <c r="D11" s="19">
        <f>0.5+199.5+0.5+500+1993+3+92.45+1+50</f>
        <v>2839.95</v>
      </c>
      <c r="E11" s="19">
        <f>120</f>
        <v>120</v>
      </c>
      <c r="F11" s="19"/>
      <c r="G11" s="19"/>
      <c r="H11" s="19">
        <f>464819.6</f>
        <v>464819.6</v>
      </c>
      <c r="I11" s="19"/>
      <c r="J11" s="19"/>
      <c r="K11" s="19"/>
      <c r="L11" s="19"/>
      <c r="M11" s="19"/>
      <c r="N11" s="19"/>
      <c r="O11" s="19"/>
      <c r="P11" s="19"/>
      <c r="Q11" s="19"/>
      <c r="R11" s="19">
        <f>81250</f>
        <v>81250</v>
      </c>
      <c r="S11" s="19"/>
      <c r="T11" s="19"/>
      <c r="U11" s="19"/>
      <c r="V11" s="19">
        <f>3640.28+4880.06+1985.24</f>
        <v>10505.58</v>
      </c>
      <c r="W11" s="18" t="s">
        <v>183</v>
      </c>
      <c r="X11" s="19"/>
      <c r="Y11" s="19"/>
      <c r="Z11" s="19"/>
    </row>
    <row r="12" ht="14.25" customHeight="1">
      <c r="A12" s="34">
        <v>45024.0</v>
      </c>
      <c r="B12" s="16"/>
      <c r="C12" s="19"/>
      <c r="D12" s="19">
        <f>6550+4941.98+477.22+337.93</f>
        <v>12307.13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>7326</f>
        <v>7326</v>
      </c>
      <c r="W12" s="26" t="s">
        <v>74</v>
      </c>
      <c r="X12" s="19"/>
      <c r="Y12" s="19"/>
      <c r="Z12" s="19"/>
    </row>
    <row r="13" ht="14.25" customHeight="1">
      <c r="A13" s="34">
        <v>45024.0</v>
      </c>
      <c r="B13" s="16"/>
      <c r="C13" s="19"/>
      <c r="D13" s="19">
        <f>0.5+0.5+9.5+2100</f>
        <v>2110.5</v>
      </c>
      <c r="E13" s="19">
        <f>2.4</f>
        <v>2.4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f>405</f>
        <v>405</v>
      </c>
      <c r="W13" s="26" t="s">
        <v>44</v>
      </c>
      <c r="X13" s="19"/>
      <c r="Y13" s="19"/>
      <c r="Z13" s="19"/>
    </row>
    <row r="14" ht="14.25" customHeight="1">
      <c r="A14" s="34">
        <v>45054.0</v>
      </c>
      <c r="B14" s="16"/>
      <c r="C14" s="19"/>
      <c r="D14" s="19">
        <f>1589.07+15.2</f>
        <v>1604.27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>
        <f>2535+2523</f>
        <v>5058</v>
      </c>
      <c r="W14" s="26" t="s">
        <v>59</v>
      </c>
      <c r="X14" s="19"/>
      <c r="Y14" s="19"/>
      <c r="Z14" s="19"/>
    </row>
    <row r="15" ht="14.25" customHeight="1">
      <c r="A15" s="34">
        <v>45054.0</v>
      </c>
      <c r="B15" s="16"/>
      <c r="C15" s="19"/>
      <c r="D15" s="19">
        <f>9.5+10.5+0.5+700+200+1000+620+50</f>
        <v>2590.5</v>
      </c>
      <c r="E15" s="19">
        <f>60</f>
        <v>60</v>
      </c>
      <c r="F15" s="19"/>
      <c r="G15" s="19"/>
      <c r="H15" s="19"/>
      <c r="I15" s="19"/>
      <c r="J15" s="19"/>
      <c r="K15" s="19"/>
      <c r="L15" s="19"/>
      <c r="M15" s="19">
        <f>5499.96</f>
        <v>5499.96</v>
      </c>
      <c r="N15" s="19"/>
      <c r="O15" s="19"/>
      <c r="P15" s="19"/>
      <c r="Q15" s="19"/>
      <c r="R15" s="19"/>
      <c r="S15" s="19"/>
      <c r="T15" s="19"/>
      <c r="U15" s="19"/>
      <c r="V15" s="19">
        <f>10500+25399+10500+10500</f>
        <v>56899</v>
      </c>
      <c r="W15" s="26" t="s">
        <v>66</v>
      </c>
      <c r="X15" s="19"/>
      <c r="Y15" s="19"/>
      <c r="Z15" s="19"/>
    </row>
    <row r="16" ht="14.25" customHeight="1">
      <c r="A16" s="34">
        <v>45085.0</v>
      </c>
      <c r="B16" s="10"/>
      <c r="C16" s="7"/>
      <c r="D16" s="19">
        <f>25000+3686.7+0.8</f>
        <v>28687.5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f>16500+16500</f>
        <v>33000</v>
      </c>
      <c r="W16" s="26" t="s">
        <v>90</v>
      </c>
      <c r="X16" s="19"/>
      <c r="Y16" s="19"/>
      <c r="Z16" s="19"/>
    </row>
    <row r="17" ht="14.25" customHeight="1">
      <c r="A17" s="34">
        <v>45085.0</v>
      </c>
      <c r="B17" s="10"/>
      <c r="C17" s="7"/>
      <c r="D17" s="19">
        <f>9.5+500+300</f>
        <v>809.5</v>
      </c>
      <c r="E17" s="19">
        <f>600</f>
        <v>600</v>
      </c>
      <c r="F17" s="19"/>
      <c r="G17" s="19"/>
      <c r="H17" s="19"/>
      <c r="I17" s="19"/>
      <c r="J17" s="19"/>
      <c r="K17" s="19"/>
      <c r="L17" s="19"/>
      <c r="M17" s="19">
        <f>249933.6+2084</f>
        <v>252017.6</v>
      </c>
      <c r="N17" s="19"/>
      <c r="O17" s="19"/>
      <c r="P17" s="19"/>
      <c r="Q17" s="19"/>
      <c r="R17" s="19">
        <f>2800+3100+2820+18100</f>
        <v>26820</v>
      </c>
      <c r="S17" s="19"/>
      <c r="T17" s="19"/>
      <c r="U17" s="19"/>
      <c r="V17" s="19">
        <f>24375+24375</f>
        <v>48750</v>
      </c>
      <c r="W17" s="26" t="s">
        <v>185</v>
      </c>
      <c r="X17" s="19"/>
      <c r="Y17" s="19"/>
      <c r="Z17" s="19"/>
    </row>
    <row r="18" ht="14.25" customHeight="1">
      <c r="A18" s="34">
        <v>45115.0</v>
      </c>
      <c r="B18" s="16"/>
      <c r="C18" s="19"/>
      <c r="D18" s="19">
        <f>3123.51+53.78+2300</f>
        <v>5477.29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f>1677.6+2050.4+139.8+18044.18+14763.42+10971+914.25+13409+1230.29+14763.42+18044.18+914.25</f>
        <v>96921.79</v>
      </c>
      <c r="W18" s="14" t="s">
        <v>34</v>
      </c>
      <c r="X18" s="19"/>
      <c r="Y18" s="19"/>
      <c r="Z18" s="19"/>
    </row>
    <row r="19" ht="14.25" customHeight="1">
      <c r="A19" s="34">
        <v>45115.0</v>
      </c>
      <c r="B19" s="16"/>
      <c r="C19" s="19"/>
      <c r="D19" s="19">
        <f>20000</f>
        <v>20000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f>471.7+471.7+1800.94</f>
        <v>2744.34</v>
      </c>
      <c r="W19" s="14" t="s">
        <v>186</v>
      </c>
      <c r="X19" s="19"/>
      <c r="Y19" s="19"/>
      <c r="Z19" s="19"/>
    </row>
    <row r="20" ht="14.25" customHeight="1">
      <c r="A20" s="34">
        <v>45146.0</v>
      </c>
      <c r="B20" s="16"/>
      <c r="C20" s="19"/>
      <c r="D20" s="19">
        <f>1000+550.22+198.93+240.98</f>
        <v>1990.13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f>9016+10006.15+20004.25+10022.25</f>
        <v>49048.65</v>
      </c>
      <c r="W20" s="14" t="s">
        <v>31</v>
      </c>
      <c r="X20" s="19"/>
      <c r="Y20" s="19"/>
      <c r="Z20" s="19"/>
    </row>
    <row r="21" ht="14.25" customHeight="1">
      <c r="A21" s="34">
        <v>45146.0</v>
      </c>
      <c r="B21" s="7"/>
      <c r="C21" s="19"/>
      <c r="D21" s="19">
        <f>10.5+5880+3528</f>
        <v>9418.5</v>
      </c>
      <c r="E21" s="19">
        <f>500+280</f>
        <v>780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>850+3000+546.16</f>
        <v>4396.16</v>
      </c>
      <c r="S21" s="19"/>
      <c r="T21" s="19"/>
      <c r="U21" s="19"/>
      <c r="V21" s="19">
        <f>3501.75+4000.85+10022.25+10006.15+10006.15+9000.7+11503.45+7502.6+8000.09+13409+1230.29</f>
        <v>88183.28</v>
      </c>
      <c r="W21" s="10" t="s">
        <v>32</v>
      </c>
      <c r="X21" s="19"/>
      <c r="Y21" s="19"/>
      <c r="Z21" s="19"/>
    </row>
    <row r="22" ht="14.25" customHeight="1">
      <c r="A22" s="34">
        <v>45177.0</v>
      </c>
      <c r="B22" s="16"/>
      <c r="C22" s="19"/>
      <c r="D22" s="19">
        <f>1296.36</f>
        <v>1296.36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f>4000+2850</f>
        <v>6850</v>
      </c>
      <c r="W22" s="26" t="s">
        <v>65</v>
      </c>
      <c r="X22" s="19"/>
      <c r="Y22" s="19"/>
      <c r="Z22" s="19"/>
    </row>
    <row r="23" ht="14.25" customHeight="1">
      <c r="A23" s="34">
        <v>45177.0</v>
      </c>
      <c r="B23" s="7"/>
      <c r="C23" s="19"/>
      <c r="D23" s="19">
        <f>99.5+200</f>
        <v>299.5</v>
      </c>
      <c r="E23" s="19">
        <f>500</f>
        <v>500</v>
      </c>
      <c r="F23" s="19"/>
      <c r="G23" s="19"/>
      <c r="H23" s="19">
        <f>2089999.97</f>
        <v>2089999.97</v>
      </c>
      <c r="I23" s="19"/>
      <c r="J23" s="19"/>
      <c r="K23" s="19"/>
      <c r="L23" s="19"/>
      <c r="M23" s="19">
        <f>36000</f>
        <v>36000</v>
      </c>
      <c r="N23" s="19"/>
      <c r="O23" s="19"/>
      <c r="P23" s="19"/>
      <c r="Q23" s="19"/>
      <c r="R23" s="19">
        <f>21857+28907+35802+2198</f>
        <v>88764</v>
      </c>
      <c r="S23" s="19"/>
      <c r="T23" s="19"/>
      <c r="U23" s="19"/>
      <c r="V23" s="19"/>
      <c r="W23" s="26"/>
      <c r="X23" s="19"/>
      <c r="Y23" s="19"/>
      <c r="Z23" s="19"/>
    </row>
    <row r="24" ht="14.25" customHeight="1">
      <c r="A24" s="34">
        <v>45207.0</v>
      </c>
      <c r="B24" s="7"/>
      <c r="C24" s="19"/>
      <c r="D24" s="19">
        <f>2717.5+106.78+362.28</f>
        <v>3186.56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4"/>
      <c r="X24" s="19"/>
      <c r="Y24" s="19"/>
      <c r="Z24" s="19"/>
    </row>
    <row r="25" ht="14.25" customHeight="1">
      <c r="A25" s="34">
        <v>45207.0</v>
      </c>
      <c r="B25" s="10"/>
      <c r="C25" s="19"/>
      <c r="D25" s="19">
        <f>1499.5+1.5+9.5+199.5+49.5+499.5+300+150+197.4+98.7+197.4</f>
        <v>3202.5</v>
      </c>
      <c r="E25" s="19">
        <f>6+1000+240+55</f>
        <v>1301</v>
      </c>
      <c r="F25" s="19"/>
      <c r="G25" s="19"/>
      <c r="H25" s="19"/>
      <c r="I25" s="19"/>
      <c r="J25" s="19"/>
      <c r="K25" s="19">
        <f>236187.34</f>
        <v>236187.34</v>
      </c>
      <c r="L25" s="19"/>
      <c r="M25" s="19"/>
      <c r="N25" s="19"/>
      <c r="O25" s="19"/>
      <c r="P25" s="19"/>
      <c r="Q25" s="19"/>
      <c r="R25" s="19">
        <f>497+32000</f>
        <v>32497</v>
      </c>
      <c r="S25" s="19"/>
      <c r="T25" s="19"/>
      <c r="U25" s="19"/>
      <c r="V25" s="19">
        <f>3041.23+2833.76</f>
        <v>5874.99</v>
      </c>
      <c r="W25" s="14" t="s">
        <v>187</v>
      </c>
      <c r="X25" s="19"/>
      <c r="Y25" s="19"/>
      <c r="Z25" s="19"/>
    </row>
    <row r="26" ht="14.25" customHeight="1">
      <c r="A26" s="34">
        <v>45238.0</v>
      </c>
      <c r="B26" s="7"/>
      <c r="C26" s="7"/>
      <c r="D26" s="19">
        <f>6900+2878.25+362.56</f>
        <v>10140.81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X26" s="19"/>
      <c r="Y26" s="19"/>
      <c r="Z26" s="19"/>
    </row>
    <row r="27" ht="14.25" customHeight="1">
      <c r="A27" s="34">
        <v>45238.0</v>
      </c>
      <c r="B27" s="7"/>
      <c r="C27" s="7"/>
      <c r="D27" s="19">
        <f>25+9.5+900+1000+100+100+150</f>
        <v>2284.5</v>
      </c>
      <c r="E27" s="19">
        <f>240+2400+1200+100+120+55</f>
        <v>4115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f>2400+1600</f>
        <v>4000</v>
      </c>
      <c r="W27" s="21" t="s">
        <v>80</v>
      </c>
      <c r="X27" s="19"/>
      <c r="Y27" s="19"/>
      <c r="Z27" s="19"/>
    </row>
    <row r="28" ht="14.25" customHeight="1">
      <c r="A28" s="34">
        <v>45268.0</v>
      </c>
      <c r="B28" s="7"/>
      <c r="C28" s="7"/>
      <c r="D28" s="19">
        <f>2222.04+634.1+2.82</f>
        <v>2858.96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f>600</f>
        <v>600</v>
      </c>
      <c r="W28" s="26" t="s">
        <v>47</v>
      </c>
      <c r="X28" s="19"/>
      <c r="Y28" s="19"/>
      <c r="Z28" s="19"/>
    </row>
    <row r="29" ht="14.25" customHeight="1">
      <c r="A29" s="34">
        <v>45268.0</v>
      </c>
      <c r="B29" s="7"/>
      <c r="C29" s="7"/>
      <c r="D29" s="19">
        <f>0.5+499.5+20+177.6</f>
        <v>697.6</v>
      </c>
      <c r="E29" s="19">
        <f>550+220+60+14.4+220+150+120</f>
        <v>1334.4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f>44000</f>
        <v>44000</v>
      </c>
      <c r="W29" s="26" t="s">
        <v>71</v>
      </c>
      <c r="X29" s="19"/>
      <c r="Y29" s="19"/>
      <c r="Z29" s="19"/>
    </row>
    <row r="30" ht="14.25" customHeight="1">
      <c r="A30" s="35" t="s">
        <v>241</v>
      </c>
      <c r="B30" s="7"/>
      <c r="C30" s="7"/>
      <c r="D30" s="19">
        <f>1000+8870.99+450.53+216.33</f>
        <v>10537.85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X30" s="19"/>
      <c r="Y30" s="19"/>
      <c r="Z30" s="19"/>
    </row>
    <row r="31" ht="14.25" customHeight="1">
      <c r="A31" s="35" t="s">
        <v>241</v>
      </c>
      <c r="B31" s="7"/>
      <c r="C31" s="7"/>
      <c r="D31" s="19">
        <f>9.5+9.5+149.5</f>
        <v>168.5</v>
      </c>
      <c r="E31" s="19">
        <f>6+3300+240+240+30</f>
        <v>3816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>
        <f>42150</f>
        <v>42150</v>
      </c>
      <c r="W31" s="26" t="s">
        <v>54</v>
      </c>
      <c r="X31" s="19"/>
      <c r="Y31" s="19"/>
      <c r="Z31" s="19"/>
    </row>
    <row r="32" ht="14.25" customHeight="1">
      <c r="A32" s="35" t="s">
        <v>242</v>
      </c>
      <c r="B32" s="16" t="s">
        <v>79</v>
      </c>
      <c r="C32" s="19">
        <f>982</f>
        <v>982</v>
      </c>
      <c r="D32" s="19">
        <f>388.33+3492.08+126.16+246.75+49.35+2000</f>
        <v>6302.67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6"/>
      <c r="X32" s="19"/>
      <c r="Y32" s="19"/>
      <c r="Z32" s="19"/>
    </row>
    <row r="33" ht="14.25" customHeight="1">
      <c r="A33" s="35" t="s">
        <v>242</v>
      </c>
      <c r="B33" s="16"/>
      <c r="C33" s="19"/>
      <c r="D33" s="19">
        <f>999.5+49.5+0.5</f>
        <v>1049.5</v>
      </c>
      <c r="E33" s="19">
        <f>60+600+36+240+360</f>
        <v>1296</v>
      </c>
      <c r="F33" s="19"/>
      <c r="G33" s="19"/>
      <c r="H33" s="19">
        <f>66150</f>
        <v>66150</v>
      </c>
      <c r="I33" s="19">
        <f>171200</f>
        <v>171200</v>
      </c>
      <c r="J33" s="19"/>
      <c r="K33" s="19"/>
      <c r="L33" s="19"/>
      <c r="M33" s="19"/>
      <c r="N33" s="19"/>
      <c r="O33" s="19">
        <f>172400+155160+135690+92050+23860+273320+154800+88480+56550+86220+131370</f>
        <v>1369900</v>
      </c>
      <c r="P33" s="19"/>
      <c r="Q33" s="19"/>
      <c r="R33" s="19">
        <f>3041.23+3090</f>
        <v>6131.23</v>
      </c>
      <c r="S33" s="19"/>
      <c r="T33" s="19"/>
      <c r="U33" s="19"/>
      <c r="V33" s="19"/>
      <c r="X33" s="19"/>
      <c r="Y33" s="19"/>
      <c r="Z33" s="19"/>
    </row>
    <row r="34" ht="14.25" customHeight="1">
      <c r="A34" s="35" t="s">
        <v>243</v>
      </c>
      <c r="B34" s="16"/>
      <c r="C34" s="19"/>
      <c r="D34" s="19">
        <f>2500+1450.6</f>
        <v>3950.6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X34" s="19"/>
      <c r="Y34" s="19"/>
      <c r="Z34" s="19"/>
    </row>
    <row r="35" ht="14.25" customHeight="1">
      <c r="A35" s="35" t="s">
        <v>243</v>
      </c>
      <c r="B35" s="16"/>
      <c r="C35" s="19"/>
      <c r="D35" s="19">
        <f>0.5+199.5+300+98.7+500+3000+100+98.7+50+25+588</f>
        <v>4960.4</v>
      </c>
      <c r="E35" s="19">
        <f>275+600+3300</f>
        <v>4175</v>
      </c>
      <c r="F35" s="19"/>
      <c r="G35" s="19"/>
      <c r="H35" s="19"/>
      <c r="I35" s="19"/>
      <c r="J35" s="19"/>
      <c r="K35" s="19"/>
      <c r="L35" s="19"/>
      <c r="M35" s="19">
        <f>32450</f>
        <v>32450</v>
      </c>
      <c r="N35" s="19"/>
      <c r="O35" s="19">
        <f>77890+137360+49590+66470+75980+38000</f>
        <v>445290</v>
      </c>
      <c r="P35" s="19"/>
      <c r="Q35" s="19"/>
      <c r="R35" s="19">
        <f>1398+2015.16</f>
        <v>3413.16</v>
      </c>
      <c r="S35" s="19"/>
      <c r="T35" s="19"/>
      <c r="U35" s="19"/>
      <c r="V35" s="19"/>
      <c r="X35" s="19"/>
      <c r="Y35" s="19"/>
      <c r="Z35" s="19"/>
    </row>
    <row r="36" ht="14.25" customHeight="1">
      <c r="A36" s="35" t="s">
        <v>244</v>
      </c>
      <c r="B36" s="16" t="s">
        <v>79</v>
      </c>
      <c r="C36" s="19">
        <f>14828.2</f>
        <v>14828.2</v>
      </c>
      <c r="D36" s="19">
        <f>2000+1680.24+367.51+296.1+49.35</f>
        <v>4393.2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X36" s="19"/>
      <c r="Y36" s="19"/>
      <c r="Z36" s="19"/>
    </row>
    <row r="37" ht="14.25" customHeight="1">
      <c r="A37" s="35" t="s">
        <v>244</v>
      </c>
      <c r="B37" s="7"/>
      <c r="C37" s="19"/>
      <c r="D37" s="19">
        <f>199.5+9.5+9.5+29.5+104723+588</f>
        <v>105559</v>
      </c>
      <c r="E37" s="19">
        <f>75+120+717.36</f>
        <v>912.36</v>
      </c>
      <c r="F37" s="19"/>
      <c r="G37" s="19"/>
      <c r="H37" s="19"/>
      <c r="I37" s="19"/>
      <c r="J37" s="19"/>
      <c r="K37" s="19"/>
      <c r="L37" s="19"/>
      <c r="M37" s="19"/>
      <c r="N37" s="19"/>
      <c r="O37" s="19">
        <f>137800</f>
        <v>137800</v>
      </c>
      <c r="P37" s="19"/>
      <c r="Q37" s="19"/>
      <c r="R37" s="19"/>
      <c r="S37" s="19"/>
      <c r="T37" s="19"/>
      <c r="U37" s="19"/>
      <c r="V37" s="19"/>
      <c r="X37" s="19"/>
      <c r="Y37" s="19"/>
      <c r="Z37" s="19"/>
    </row>
    <row r="38" ht="14.25" customHeight="1">
      <c r="A38" s="35" t="s">
        <v>245</v>
      </c>
      <c r="B38" s="10"/>
      <c r="C38" s="19"/>
      <c r="D38" s="19">
        <f>505+2193.04+45.35</f>
        <v>2743.39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X38" s="19"/>
      <c r="Y38" s="19"/>
      <c r="Z38" s="19"/>
    </row>
    <row r="39" ht="14.25" customHeight="1">
      <c r="A39" s="35" t="s">
        <v>245</v>
      </c>
      <c r="B39" s="10" t="s">
        <v>246</v>
      </c>
      <c r="C39" s="19">
        <f>443500</f>
        <v>443500</v>
      </c>
      <c r="D39" s="19">
        <f>24.5+99.5+100+539</f>
        <v>763</v>
      </c>
      <c r="E39" s="19">
        <f>593.88</f>
        <v>593.88</v>
      </c>
      <c r="F39" s="19"/>
      <c r="G39" s="19"/>
      <c r="H39" s="19"/>
      <c r="I39" s="19"/>
      <c r="J39" s="19"/>
      <c r="K39" s="19">
        <f>86944</f>
        <v>86944</v>
      </c>
      <c r="L39" s="19"/>
      <c r="M39" s="19"/>
      <c r="N39" s="19"/>
      <c r="O39" s="19"/>
      <c r="P39" s="19"/>
      <c r="Q39" s="19"/>
      <c r="R39" s="19">
        <f>4020+698</f>
        <v>4718</v>
      </c>
      <c r="S39" s="19"/>
      <c r="T39" s="19"/>
      <c r="U39" s="19"/>
      <c r="V39" s="19"/>
      <c r="X39" s="19"/>
      <c r="Y39" s="19"/>
      <c r="Z39" s="19"/>
    </row>
    <row r="40" ht="14.25" customHeight="1">
      <c r="A40" s="35" t="s">
        <v>247</v>
      </c>
      <c r="B40" s="10"/>
      <c r="C40" s="19"/>
      <c r="D40" s="19">
        <f>1786.69+3282.76+148.05+100+50+105+235.2+235.2+98+98+588+588</f>
        <v>7314.9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X40" s="19"/>
      <c r="Y40" s="19"/>
      <c r="Z40" s="19"/>
    </row>
    <row r="41" ht="14.25" customHeight="1">
      <c r="A41" s="35" t="s">
        <v>247</v>
      </c>
      <c r="B41" s="10" t="s">
        <v>248</v>
      </c>
      <c r="C41" s="19">
        <v>7855.0</v>
      </c>
      <c r="D41" s="19">
        <f>0.5+0.5+0.5+23565</f>
        <v>23566.5</v>
      </c>
      <c r="E41" s="19">
        <f>240+548.8</f>
        <v>788.8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X41" s="19"/>
      <c r="Y41" s="19"/>
      <c r="Z41" s="19"/>
    </row>
    <row r="42" ht="14.25" customHeight="1">
      <c r="A42" s="35" t="s">
        <v>249</v>
      </c>
      <c r="B42" s="10"/>
      <c r="C42" s="19"/>
      <c r="D42" s="19">
        <f>1440.33+496.06+14.34</f>
        <v>1950.73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</row>
    <row r="43" ht="14.25" customHeight="1">
      <c r="A43" s="35" t="s">
        <v>249</v>
      </c>
      <c r="B43" s="10"/>
      <c r="C43" s="19"/>
      <c r="D43" s="19">
        <f>9.5+50+493.5+100+1000+100+100+215.6+613.94</f>
        <v>2682.54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X43" s="19"/>
      <c r="Y43" s="19"/>
      <c r="Z43" s="19"/>
    </row>
    <row r="44" ht="14.25" customHeight="1">
      <c r="A44" s="35" t="s">
        <v>250</v>
      </c>
      <c r="B44" s="10"/>
      <c r="C44" s="19"/>
      <c r="D44" s="19">
        <f>2254.23+215.39+2.39</f>
        <v>2472.01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X44" s="19"/>
      <c r="Y44" s="19"/>
      <c r="Z44" s="19"/>
    </row>
    <row r="45" ht="14.25" customHeight="1">
      <c r="A45" s="35" t="s">
        <v>250</v>
      </c>
      <c r="B45" s="10"/>
      <c r="C45" s="19"/>
      <c r="D45" s="19">
        <f>4.5+299.5+99.5+999.5+100+197.4+58.8</f>
        <v>1759.2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X45" s="19"/>
      <c r="Y45" s="19"/>
      <c r="Z45" s="19"/>
    </row>
    <row r="46" ht="14.25" customHeight="1">
      <c r="A46" s="35" t="s">
        <v>251</v>
      </c>
      <c r="B46" s="47" t="s">
        <v>252</v>
      </c>
      <c r="C46" s="27">
        <f>47669.4</f>
        <v>47669.4</v>
      </c>
      <c r="D46" s="19">
        <f>2033.46</f>
        <v>2033.46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X46" s="19"/>
      <c r="Y46" s="19"/>
      <c r="Z46" s="19"/>
    </row>
    <row r="47" ht="14.25" customHeight="1">
      <c r="A47" s="35" t="s">
        <v>251</v>
      </c>
      <c r="B47" s="7"/>
      <c r="C47" s="19"/>
      <c r="D47" s="19">
        <f>0.5+300+99.5+54.5+588+64.68+735+980</f>
        <v>2822.18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X47" s="19"/>
      <c r="Y47" s="19"/>
      <c r="Z47" s="19"/>
    </row>
    <row r="48" ht="14.25" customHeight="1">
      <c r="A48" s="35" t="s">
        <v>253</v>
      </c>
      <c r="B48" s="16" t="s">
        <v>254</v>
      </c>
      <c r="C48" s="19">
        <f>7855</f>
        <v>7855</v>
      </c>
      <c r="D48" s="19">
        <f>0.5+42999.5</f>
        <v>43000</v>
      </c>
      <c r="E48" s="19">
        <f>2367.68</f>
        <v>2367.68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X48" s="19"/>
      <c r="Y48" s="19"/>
      <c r="Z48" s="19"/>
    </row>
    <row r="49" ht="14.25" customHeight="1">
      <c r="A49" s="35" t="s">
        <v>253</v>
      </c>
      <c r="B49" s="16"/>
      <c r="C49" s="19"/>
      <c r="D49" s="19">
        <f>22.73+50+98.7+235.2+235.2+1176+117.6</f>
        <v>1935.43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X49" s="19"/>
      <c r="Y49" s="19"/>
      <c r="Z49" s="19"/>
    </row>
    <row r="50" ht="14.25" customHeight="1">
      <c r="A50" s="35" t="s">
        <v>255</v>
      </c>
      <c r="B50" s="16"/>
      <c r="C50" s="19"/>
      <c r="D50" s="19">
        <f>1000+1764+500+300+100+197.4+49.35+49.35+98.7+103+490+2940</f>
        <v>7591.8</v>
      </c>
      <c r="E50" s="19"/>
      <c r="F50" s="19"/>
      <c r="G50" s="19"/>
      <c r="H50" s="19"/>
      <c r="I50" s="19"/>
      <c r="J50" s="19"/>
      <c r="K50" s="19"/>
      <c r="L50" s="19"/>
      <c r="M50" s="19">
        <f>42075+32048+30599.5</f>
        <v>104722.5</v>
      </c>
      <c r="N50" s="19"/>
      <c r="O50" s="19"/>
      <c r="P50" s="19"/>
      <c r="Q50" s="19"/>
      <c r="R50" s="19">
        <f>1200+3408.92+900+933</f>
        <v>6441.92</v>
      </c>
      <c r="S50" s="19"/>
      <c r="T50" s="19"/>
      <c r="U50" s="19"/>
      <c r="V50" s="19"/>
      <c r="X50" s="19"/>
      <c r="Y50" s="19"/>
      <c r="Z50" s="19"/>
    </row>
    <row r="51" ht="14.25" customHeight="1">
      <c r="A51" s="35" t="s">
        <v>256</v>
      </c>
      <c r="B51" s="16"/>
      <c r="C51" s="19"/>
      <c r="D51" s="19">
        <f>826.21</f>
        <v>826.21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X51" s="19"/>
      <c r="Y51" s="19"/>
      <c r="Z51" s="19"/>
    </row>
    <row r="52" ht="14.25" customHeight="1">
      <c r="A52" s="35" t="s">
        <v>256</v>
      </c>
      <c r="B52" s="10"/>
      <c r="C52" s="19"/>
      <c r="D52" s="19">
        <f>9.5+0.5+4000+149.5+493.5</f>
        <v>4653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X52" s="19"/>
      <c r="Y52" s="19"/>
      <c r="Z52" s="19"/>
    </row>
    <row r="53" ht="14.25" customHeight="1">
      <c r="A53" s="35" t="s">
        <v>257</v>
      </c>
      <c r="B53" s="10" t="s">
        <v>258</v>
      </c>
      <c r="C53" s="19">
        <f>42203</f>
        <v>42203</v>
      </c>
      <c r="D53" s="19">
        <f>99.5+0.5+99.5+0.5+0.5+100</f>
        <v>300.5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X53" s="19"/>
      <c r="Y53" s="19"/>
      <c r="Z53" s="19"/>
    </row>
    <row r="54" ht="14.25" customHeight="1">
      <c r="A54" s="35" t="s">
        <v>257</v>
      </c>
      <c r="B54" s="10"/>
      <c r="C54" s="19"/>
      <c r="D54" s="19">
        <f>2837.82+48.81+666.8+215.6+588+235.2+1960+9016</f>
        <v>15568.23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X54" s="19"/>
      <c r="Y54" s="19"/>
      <c r="Z54" s="19"/>
    </row>
    <row r="55" ht="14.25" customHeight="1">
      <c r="A55" s="35" t="s">
        <v>259</v>
      </c>
      <c r="B55" s="10"/>
      <c r="C55" s="19"/>
      <c r="D55" s="19">
        <f>199.5+9.5+0.5+588+4900+2352</f>
        <v>8049.5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X55" s="19"/>
      <c r="Y55" s="19"/>
      <c r="Z55" s="19"/>
    </row>
    <row r="56" ht="14.25" customHeight="1">
      <c r="A56" s="35" t="s">
        <v>259</v>
      </c>
      <c r="C56" s="19"/>
      <c r="D56" s="19">
        <f>5426.12+1144.98+98.7+60</f>
        <v>6729.8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X56" s="19"/>
      <c r="Y56" s="19"/>
      <c r="Z56" s="19"/>
    </row>
    <row r="57" ht="14.25" customHeight="1">
      <c r="A57" s="35" t="s">
        <v>260</v>
      </c>
      <c r="B57" s="10" t="s">
        <v>261</v>
      </c>
      <c r="C57" s="19">
        <v>33222.0</v>
      </c>
      <c r="D57" s="19">
        <f>9.5+499.5+0.5+999.5+117.6+98.7+144+9870+1000+50</f>
        <v>12789.3</v>
      </c>
      <c r="E57" s="19"/>
      <c r="F57" s="19"/>
      <c r="G57" s="19"/>
      <c r="H57" s="19"/>
      <c r="I57" s="19">
        <f>87890</f>
        <v>87890</v>
      </c>
      <c r="J57" s="19"/>
      <c r="K57" s="19"/>
      <c r="L57" s="19"/>
      <c r="M57" s="19">
        <f>257656+330940+154297+267500+426546.73</f>
        <v>1436939.73</v>
      </c>
      <c r="N57" s="19"/>
      <c r="O57" s="19"/>
      <c r="P57" s="19"/>
      <c r="Q57" s="19"/>
      <c r="R57" s="19"/>
      <c r="S57" s="19"/>
      <c r="T57" s="19"/>
      <c r="U57" s="19"/>
      <c r="V57" s="19"/>
      <c r="X57" s="19"/>
      <c r="Y57" s="19"/>
      <c r="Z57" s="19"/>
    </row>
    <row r="58" ht="14.25" customHeight="1">
      <c r="A58" s="35" t="s">
        <v>260</v>
      </c>
      <c r="B58" s="10"/>
      <c r="C58" s="19"/>
      <c r="D58" s="19">
        <f>6250+3652.01+499.5+0.5+1000</f>
        <v>11402.01</v>
      </c>
      <c r="E58" s="19"/>
      <c r="F58" s="19"/>
      <c r="G58" s="19"/>
      <c r="H58" s="19">
        <f>199208.4+158334</f>
        <v>357542.4</v>
      </c>
      <c r="I58" s="19"/>
      <c r="J58" s="19"/>
      <c r="K58" s="19"/>
      <c r="L58" s="19"/>
      <c r="M58" s="19">
        <f>65468+30960+132650+395044+113466.5+194030</f>
        <v>931618.5</v>
      </c>
      <c r="N58" s="19"/>
      <c r="O58" s="19"/>
      <c r="P58" s="19"/>
      <c r="Q58" s="19"/>
      <c r="R58" s="19"/>
      <c r="S58" s="19"/>
      <c r="T58" s="19"/>
      <c r="U58" s="19"/>
      <c r="V58" s="19"/>
      <c r="X58" s="19"/>
      <c r="Y58" s="19"/>
      <c r="Z58" s="19"/>
    </row>
    <row r="59" ht="14.25" customHeight="1">
      <c r="A59" s="35" t="s">
        <v>262</v>
      </c>
      <c r="B59" s="10"/>
      <c r="C59" s="19"/>
      <c r="D59" s="19">
        <f>19+9782.24+16.46+581.12+49</f>
        <v>10447.82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X59" s="19"/>
      <c r="Y59" s="19"/>
      <c r="Z59" s="19"/>
    </row>
    <row r="60" ht="14.25" customHeight="1">
      <c r="A60" s="35" t="s">
        <v>262</v>
      </c>
      <c r="B60" s="10"/>
      <c r="C60" s="19"/>
      <c r="D60" s="19">
        <f>4.5+0.5+0.5+0.5+0.5+1500</f>
        <v>1506.5</v>
      </c>
      <c r="E60" s="19">
        <f>1.2+1.2</f>
        <v>2.4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>546.16+6825</f>
        <v>7371.16</v>
      </c>
      <c r="S60" s="19"/>
      <c r="T60" s="19"/>
      <c r="U60" s="19"/>
      <c r="V60" s="19"/>
      <c r="X60" s="19"/>
      <c r="Y60" s="19"/>
      <c r="Z60" s="19"/>
    </row>
    <row r="61" ht="14.25" customHeight="1">
      <c r="A61" s="35" t="s">
        <v>263</v>
      </c>
      <c r="B61" s="10"/>
      <c r="C61" s="19"/>
      <c r="D61" s="19">
        <f>1697.02+1165.45+21.34</f>
        <v>2883.81</v>
      </c>
      <c r="E61" s="19"/>
      <c r="F61" s="19"/>
      <c r="G61" s="19"/>
      <c r="H61" s="19"/>
      <c r="I61" s="19"/>
      <c r="J61" s="19"/>
      <c r="K61" s="19"/>
      <c r="L61" s="19"/>
      <c r="M61" s="19">
        <f>167400+106789+138710+54540+21270+53465</f>
        <v>542174</v>
      </c>
      <c r="N61" s="19"/>
      <c r="O61" s="19"/>
      <c r="P61" s="19"/>
      <c r="Q61" s="19"/>
      <c r="R61" s="19"/>
      <c r="S61" s="19"/>
      <c r="T61" s="19"/>
      <c r="U61" s="19"/>
      <c r="V61" s="19"/>
      <c r="X61" s="19"/>
      <c r="Y61" s="19"/>
      <c r="Z61" s="19"/>
    </row>
    <row r="62" ht="14.25" customHeight="1">
      <c r="A62" s="35" t="s">
        <v>263</v>
      </c>
      <c r="B62" s="10" t="s">
        <v>246</v>
      </c>
      <c r="C62" s="19">
        <v>35000.0</v>
      </c>
      <c r="D62" s="19"/>
      <c r="E62" s="19"/>
      <c r="F62" s="19"/>
      <c r="G62" s="19"/>
      <c r="H62" s="19">
        <f>412499.45+1250737.98+487499.49+901617.31</f>
        <v>3052354.23</v>
      </c>
      <c r="I62" s="19"/>
      <c r="J62" s="19"/>
      <c r="K62" s="19"/>
      <c r="L62" s="19"/>
      <c r="M62" s="19">
        <f>42986+409960+116955+78780</f>
        <v>648681</v>
      </c>
      <c r="N62" s="19"/>
      <c r="O62" s="19"/>
      <c r="P62" s="19"/>
      <c r="Q62" s="19"/>
      <c r="R62" s="19"/>
      <c r="S62" s="19"/>
      <c r="T62" s="19"/>
      <c r="U62" s="19"/>
      <c r="V62" s="19"/>
      <c r="X62" s="19"/>
      <c r="Y62" s="19"/>
      <c r="Z62" s="19"/>
    </row>
    <row r="63" ht="14.25" customHeight="1">
      <c r="A63" s="35" t="s">
        <v>264</v>
      </c>
      <c r="B63" s="10"/>
      <c r="C63" s="19"/>
      <c r="D63" s="19">
        <f>392.73+404.45+1000</f>
        <v>1797.18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X63" s="19"/>
      <c r="Y63" s="19"/>
      <c r="Z63" s="19"/>
    </row>
    <row r="64" ht="14.25" customHeight="1">
      <c r="A64" s="35" t="s">
        <v>264</v>
      </c>
      <c r="B64" s="10"/>
      <c r="C64" s="19"/>
      <c r="D64" s="19">
        <f>0.5+538.02</f>
        <v>538.52</v>
      </c>
      <c r="E64" s="19"/>
      <c r="F64" s="19"/>
      <c r="G64" s="19"/>
      <c r="H64" s="19">
        <f>64272</f>
        <v>64272</v>
      </c>
      <c r="I64" s="19"/>
      <c r="J64" s="19"/>
      <c r="K64" s="19">
        <f>240000</f>
        <v>240000</v>
      </c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X64" s="19"/>
      <c r="Y64" s="19"/>
      <c r="Z64" s="19"/>
    </row>
    <row r="65" ht="14.25" customHeight="1">
      <c r="A65" s="35" t="s">
        <v>265</v>
      </c>
      <c r="B65" s="10" t="s">
        <v>235</v>
      </c>
      <c r="C65" s="19">
        <v>4500.0</v>
      </c>
      <c r="D65" s="19">
        <f>20.39+3000</f>
        <v>3020.39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X65" s="19"/>
      <c r="Y65" s="19"/>
      <c r="Z65" s="19"/>
    </row>
    <row r="66" ht="14.25" customHeight="1">
      <c r="A66" s="35" t="s">
        <v>265</v>
      </c>
      <c r="B66" s="10"/>
      <c r="C66" s="19"/>
      <c r="D66" s="19">
        <f>3500+3929.74+170.41+205.32</f>
        <v>7805.47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X66" s="19"/>
      <c r="Y66" s="19"/>
      <c r="Z66" s="19"/>
    </row>
    <row r="67" ht="14.25" customHeight="1">
      <c r="A67" s="35"/>
    </row>
    <row r="68" ht="14.25" customHeight="1">
      <c r="A68" s="37" t="s">
        <v>50</v>
      </c>
      <c r="B68" s="24"/>
      <c r="C68" s="24">
        <f>SUM(C4:C67)</f>
        <v>661818.75</v>
      </c>
      <c r="D68" s="24">
        <f t="shared" ref="D68:V68" si="1">SUM(D3:D67)</f>
        <v>448621.91</v>
      </c>
      <c r="E68" s="24">
        <f t="shared" si="1"/>
        <v>30165.92</v>
      </c>
      <c r="F68" s="24">
        <f t="shared" si="1"/>
        <v>0</v>
      </c>
      <c r="G68" s="24">
        <f t="shared" si="1"/>
        <v>0</v>
      </c>
      <c r="H68" s="24">
        <f t="shared" si="1"/>
        <v>7688138.21</v>
      </c>
      <c r="I68" s="24">
        <f t="shared" si="1"/>
        <v>259090</v>
      </c>
      <c r="J68" s="24">
        <f t="shared" si="1"/>
        <v>0</v>
      </c>
      <c r="K68" s="24">
        <f t="shared" si="1"/>
        <v>563131.34</v>
      </c>
      <c r="L68" s="24">
        <f t="shared" si="1"/>
        <v>0</v>
      </c>
      <c r="M68" s="24">
        <f t="shared" si="1"/>
        <v>3990103.29</v>
      </c>
      <c r="N68" s="24">
        <f t="shared" si="1"/>
        <v>0</v>
      </c>
      <c r="O68" s="24">
        <f t="shared" si="1"/>
        <v>1952990</v>
      </c>
      <c r="P68" s="24">
        <f t="shared" si="1"/>
        <v>0</v>
      </c>
      <c r="Q68" s="24">
        <f t="shared" si="1"/>
        <v>0</v>
      </c>
      <c r="R68" s="24">
        <f t="shared" si="1"/>
        <v>371444.97</v>
      </c>
      <c r="S68" s="24">
        <f t="shared" si="1"/>
        <v>0</v>
      </c>
      <c r="T68" s="24">
        <f t="shared" si="1"/>
        <v>0</v>
      </c>
      <c r="U68" s="24">
        <f t="shared" si="1"/>
        <v>0</v>
      </c>
      <c r="V68" s="24">
        <f t="shared" si="1"/>
        <v>644684.45</v>
      </c>
      <c r="W68" s="25"/>
      <c r="X68" s="25"/>
      <c r="Y68" s="25"/>
      <c r="Z68" s="25"/>
    </row>
    <row r="69" ht="14.25" customHeight="1">
      <c r="A69" s="38"/>
    </row>
    <row r="70" ht="14.25" customHeight="1">
      <c r="A70" s="38"/>
      <c r="B70" s="7"/>
      <c r="C70" s="7"/>
      <c r="D70" s="7"/>
    </row>
    <row r="71" ht="14.25" customHeight="1">
      <c r="A71" s="38"/>
      <c r="B71" s="7"/>
      <c r="C71" s="7"/>
      <c r="D71" s="7"/>
    </row>
    <row r="72" ht="14.25" customHeight="1">
      <c r="A72" s="38"/>
      <c r="B72" s="7"/>
      <c r="C72" s="7"/>
      <c r="D72" s="7"/>
    </row>
    <row r="73" ht="14.25" customHeight="1">
      <c r="A73" s="38"/>
      <c r="B73" s="7"/>
      <c r="C73" s="7"/>
      <c r="D73" s="7"/>
    </row>
    <row r="74" ht="14.25" customHeight="1">
      <c r="A74" s="38"/>
      <c r="B74" s="7"/>
      <c r="C74" s="7"/>
      <c r="D74" s="7"/>
    </row>
    <row r="75" ht="14.25" customHeight="1">
      <c r="A75" s="38"/>
      <c r="B75" s="7"/>
      <c r="C75" s="7"/>
      <c r="D75" s="7"/>
    </row>
    <row r="76" ht="14.25" customHeight="1">
      <c r="A76" s="38"/>
      <c r="B76" s="7"/>
      <c r="C76" s="7"/>
      <c r="D76" s="7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4.25" customHeight="1">
      <c r="A267" s="38"/>
    </row>
    <row r="268" ht="14.2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32"/>
      <c r="B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T1" s="3"/>
      <c r="U1" s="4"/>
      <c r="V1" s="5" t="s">
        <v>6</v>
      </c>
    </row>
    <row r="2" ht="36.0" customHeight="1">
      <c r="A2" s="33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137</v>
      </c>
      <c r="I2" s="2" t="s">
        <v>11</v>
      </c>
      <c r="J2" s="2" t="s">
        <v>210</v>
      </c>
      <c r="K2" s="2" t="s">
        <v>211</v>
      </c>
      <c r="L2" s="2" t="s">
        <v>14</v>
      </c>
      <c r="M2" s="2" t="s">
        <v>15</v>
      </c>
      <c r="N2" s="2" t="s">
        <v>16</v>
      </c>
      <c r="O2" s="2" t="s">
        <v>266</v>
      </c>
      <c r="P2" s="2"/>
      <c r="Q2" s="2" t="s">
        <v>139</v>
      </c>
      <c r="R2" s="2" t="s">
        <v>212</v>
      </c>
      <c r="S2" s="2" t="s">
        <v>141</v>
      </c>
      <c r="T2" s="2" t="s">
        <v>142</v>
      </c>
      <c r="U2" s="2" t="s">
        <v>23</v>
      </c>
      <c r="V2" s="2"/>
    </row>
    <row r="3" ht="14.25" customHeight="1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>
        <v>843.52</v>
      </c>
      <c r="V3" s="52" t="s">
        <v>24</v>
      </c>
      <c r="W3" s="10"/>
      <c r="X3" s="19"/>
      <c r="Y3" s="19"/>
      <c r="Z3" s="19"/>
    </row>
    <row r="4" ht="14.25" customHeight="1">
      <c r="A4" s="53">
        <v>45170.0</v>
      </c>
      <c r="B4" s="49"/>
      <c r="C4" s="54"/>
      <c r="D4" s="51">
        <v>2547.57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2" t="s">
        <v>267</v>
      </c>
      <c r="W4" s="14"/>
      <c r="X4" s="19"/>
      <c r="Y4" s="19"/>
      <c r="Z4" s="19"/>
    </row>
    <row r="5" ht="14.25" customHeight="1">
      <c r="A5" s="53">
        <v>45170.0</v>
      </c>
      <c r="B5" s="52" t="s">
        <v>181</v>
      </c>
      <c r="C5" s="55">
        <v>12864.2</v>
      </c>
      <c r="D5" s="51">
        <v>686.9</v>
      </c>
      <c r="E5" s="51">
        <v>600.0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>
        <v>1558.35</v>
      </c>
      <c r="V5" s="52" t="s">
        <v>268</v>
      </c>
      <c r="W5" s="14"/>
      <c r="X5" s="19"/>
      <c r="Y5" s="19"/>
      <c r="Z5" s="19"/>
    </row>
    <row r="6" ht="14.25" customHeight="1">
      <c r="A6" s="53">
        <v>45171.0</v>
      </c>
      <c r="B6" s="49"/>
      <c r="C6" s="54"/>
      <c r="D6" s="51">
        <v>500.0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2" t="s">
        <v>269</v>
      </c>
      <c r="W6" s="14"/>
      <c r="X6" s="19"/>
      <c r="Y6" s="19"/>
      <c r="Z6" s="19"/>
    </row>
    <row r="7" ht="14.25" customHeight="1">
      <c r="A7" s="53">
        <v>45171.0</v>
      </c>
      <c r="B7" s="49"/>
      <c r="C7" s="54"/>
      <c r="D7" s="51">
        <v>4287.96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>
        <v>40850.0</v>
      </c>
      <c r="V7" s="52" t="s">
        <v>270</v>
      </c>
      <c r="W7" s="26"/>
      <c r="X7" s="19"/>
      <c r="Y7" s="19"/>
      <c r="Z7" s="19"/>
    </row>
    <row r="8" ht="14.25" customHeight="1">
      <c r="A8" s="53">
        <v>45172.0</v>
      </c>
      <c r="B8" s="56"/>
      <c r="C8" s="50"/>
      <c r="D8" s="51">
        <v>3815.32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>
        <v>135593.39</v>
      </c>
      <c r="V8" s="52" t="s">
        <v>32</v>
      </c>
      <c r="W8" s="14"/>
      <c r="X8" s="19"/>
      <c r="Y8" s="19"/>
      <c r="Z8" s="19"/>
    </row>
    <row r="9" ht="14.25" customHeight="1">
      <c r="A9" s="53">
        <v>45172.0</v>
      </c>
      <c r="B9" s="56"/>
      <c r="C9" s="50"/>
      <c r="D9" s="51">
        <v>219.5</v>
      </c>
      <c r="E9" s="51">
        <v>60.0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1">
        <v>1853.93</v>
      </c>
      <c r="V9" s="57" t="s">
        <v>271</v>
      </c>
      <c r="W9" s="26"/>
      <c r="X9" s="19"/>
      <c r="Y9" s="19"/>
      <c r="Z9" s="19"/>
    </row>
    <row r="10" ht="14.25" customHeight="1">
      <c r="A10" s="53">
        <v>45173.0</v>
      </c>
      <c r="B10" s="58" t="s">
        <v>181</v>
      </c>
      <c r="C10" s="51">
        <v>25433.8</v>
      </c>
      <c r="D10" s="51">
        <v>5909.1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1">
        <v>132644.68</v>
      </c>
      <c r="V10" s="52" t="s">
        <v>272</v>
      </c>
      <c r="W10" s="26"/>
      <c r="X10" s="19"/>
      <c r="Y10" s="19"/>
      <c r="Z10" s="19"/>
    </row>
    <row r="11" ht="14.25" customHeight="1">
      <c r="A11" s="53">
        <v>45173.0</v>
      </c>
      <c r="B11" s="56"/>
      <c r="C11" s="50"/>
      <c r="D11" s="51">
        <v>8546.1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9" t="s">
        <v>273</v>
      </c>
      <c r="W11" s="18"/>
      <c r="X11" s="19"/>
      <c r="Y11" s="19"/>
      <c r="Z11" s="19"/>
    </row>
    <row r="12" ht="14.25" customHeight="1">
      <c r="A12" s="53">
        <v>45174.0</v>
      </c>
      <c r="B12" s="56"/>
      <c r="C12" s="50"/>
      <c r="D12" s="51">
        <v>38759.4</v>
      </c>
      <c r="E12" s="50"/>
      <c r="F12" s="50"/>
      <c r="G12" s="50"/>
      <c r="H12" s="50"/>
      <c r="I12" s="50"/>
      <c r="J12" s="51">
        <v>240000.0</v>
      </c>
      <c r="K12" s="50"/>
      <c r="L12" s="51">
        <v>50140.0</v>
      </c>
      <c r="M12" s="50"/>
      <c r="N12" s="50"/>
      <c r="O12" s="50"/>
      <c r="P12" s="50"/>
      <c r="Q12" s="51">
        <v>4620.0</v>
      </c>
      <c r="R12" s="50"/>
      <c r="S12" s="50"/>
      <c r="T12" s="50"/>
      <c r="U12" s="51">
        <v>60000.0</v>
      </c>
      <c r="V12" s="57" t="s">
        <v>274</v>
      </c>
      <c r="X12" s="19"/>
      <c r="Y12" s="19"/>
      <c r="Z12" s="19"/>
    </row>
    <row r="13" ht="14.25" customHeight="1">
      <c r="A13" s="53">
        <v>45174.0</v>
      </c>
      <c r="B13" s="60" t="s">
        <v>26</v>
      </c>
      <c r="C13" s="61">
        <v>3367.24</v>
      </c>
      <c r="D13" s="51">
        <v>1323.7</v>
      </c>
      <c r="E13" s="50"/>
      <c r="F13" s="50"/>
      <c r="G13" s="51">
        <v>200000.0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1">
        <v>96263.56</v>
      </c>
      <c r="V13" s="52" t="s">
        <v>275</v>
      </c>
      <c r="W13" s="26"/>
      <c r="X13" s="19"/>
      <c r="Y13" s="19"/>
      <c r="Z13" s="19"/>
    </row>
    <row r="14" ht="14.25" customHeight="1">
      <c r="A14" s="53">
        <v>45175.0</v>
      </c>
      <c r="B14" s="58" t="s">
        <v>181</v>
      </c>
      <c r="C14" s="51">
        <v>982.0</v>
      </c>
      <c r="D14" s="51">
        <v>200.0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1">
        <v>49005.0</v>
      </c>
      <c r="V14" s="52" t="s">
        <v>276</v>
      </c>
      <c r="W14" s="26"/>
      <c r="X14" s="19"/>
      <c r="Y14" s="19"/>
      <c r="Z14" s="19"/>
    </row>
    <row r="15" ht="14.25" customHeight="1">
      <c r="A15" s="53">
        <v>45175.0</v>
      </c>
      <c r="B15" s="56"/>
      <c r="C15" s="50"/>
      <c r="D15" s="51">
        <v>3479.0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1">
        <v>1984.0</v>
      </c>
      <c r="V15" s="52" t="s">
        <v>277</v>
      </c>
      <c r="W15" s="26"/>
      <c r="X15" s="19"/>
      <c r="Y15" s="19"/>
      <c r="Z15" s="19"/>
    </row>
    <row r="16" ht="14.25" customHeight="1">
      <c r="A16" s="53">
        <v>45176.0</v>
      </c>
      <c r="B16" s="49"/>
      <c r="C16" s="62"/>
      <c r="D16" s="51">
        <v>1094.11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>
        <v>10387.15</v>
      </c>
      <c r="V16" s="57" t="s">
        <v>278</v>
      </c>
      <c r="W16" s="26"/>
      <c r="X16" s="19"/>
      <c r="Y16" s="19"/>
      <c r="Z16" s="19"/>
    </row>
    <row r="17" ht="14.25" customHeight="1">
      <c r="A17" s="53">
        <v>45176.0</v>
      </c>
      <c r="B17" s="49"/>
      <c r="C17" s="62"/>
      <c r="D17" s="51">
        <v>500.0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>
        <v>1200.0</v>
      </c>
      <c r="R17" s="50"/>
      <c r="S17" s="50"/>
      <c r="T17" s="50"/>
      <c r="U17" s="51">
        <v>86947.0</v>
      </c>
      <c r="V17" s="52" t="s">
        <v>279</v>
      </c>
      <c r="W17" s="26"/>
      <c r="X17" s="19"/>
      <c r="Y17" s="19"/>
      <c r="Z17" s="19"/>
    </row>
    <row r="18" ht="14.25" customHeight="1">
      <c r="A18" s="53">
        <v>45177.0</v>
      </c>
      <c r="B18" s="56"/>
      <c r="C18" s="50"/>
      <c r="D18" s="51">
        <v>2859.62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>
        <v>1697.1</v>
      </c>
      <c r="V18" s="52" t="s">
        <v>280</v>
      </c>
      <c r="W18" s="14"/>
      <c r="X18" s="19"/>
      <c r="Y18" s="19"/>
      <c r="Z18" s="19"/>
    </row>
    <row r="19" ht="14.25" customHeight="1">
      <c r="A19" s="53">
        <v>45177.0</v>
      </c>
      <c r="B19" s="56"/>
      <c r="C19" s="50"/>
      <c r="D19" s="51">
        <v>20.0</v>
      </c>
      <c r="E19" s="50"/>
      <c r="F19" s="50"/>
      <c r="G19" s="50"/>
      <c r="H19" s="51">
        <v>50000.0</v>
      </c>
      <c r="I19" s="50"/>
      <c r="J19" s="50"/>
      <c r="K19" s="50"/>
      <c r="L19" s="50"/>
      <c r="M19" s="50"/>
      <c r="N19" s="50"/>
      <c r="O19" s="50"/>
      <c r="P19" s="50"/>
      <c r="Q19" s="51">
        <v>2800.0</v>
      </c>
      <c r="R19" s="50"/>
      <c r="S19" s="50"/>
      <c r="T19" s="50"/>
      <c r="U19" s="50"/>
      <c r="V19" s="57" t="s">
        <v>281</v>
      </c>
      <c r="W19" s="14"/>
      <c r="X19" s="19"/>
      <c r="Y19" s="19"/>
      <c r="Z19" s="19"/>
    </row>
    <row r="20" ht="14.25" customHeight="1">
      <c r="A20" s="53">
        <v>45178.0</v>
      </c>
      <c r="B20" s="56"/>
      <c r="C20" s="50"/>
      <c r="D20" s="51">
        <v>4021.64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>
        <v>7250.0</v>
      </c>
      <c r="V20" s="52" t="s">
        <v>282</v>
      </c>
      <c r="W20" s="14"/>
      <c r="X20" s="19"/>
      <c r="Y20" s="19"/>
      <c r="Z20" s="19"/>
    </row>
    <row r="21" ht="14.25" customHeight="1">
      <c r="A21" s="53">
        <v>45178.0</v>
      </c>
      <c r="B21" s="62"/>
      <c r="C21" s="50"/>
      <c r="D21" s="51">
        <v>109.0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1">
        <v>495.0</v>
      </c>
      <c r="V21" s="52" t="s">
        <v>283</v>
      </c>
      <c r="W21" s="10"/>
      <c r="X21" s="19"/>
      <c r="Y21" s="19"/>
      <c r="Z21" s="19"/>
    </row>
    <row r="22" ht="14.25" customHeight="1">
      <c r="A22" s="53">
        <v>45179.0</v>
      </c>
      <c r="B22" s="56"/>
      <c r="C22" s="50"/>
      <c r="D22" s="51">
        <v>200.0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2" t="s">
        <v>81</v>
      </c>
      <c r="W22" s="26"/>
      <c r="X22" s="19"/>
      <c r="Y22" s="19"/>
      <c r="Z22" s="19"/>
    </row>
    <row r="23" ht="14.25" customHeight="1">
      <c r="A23" s="53">
        <v>45179.0</v>
      </c>
      <c r="B23" s="62"/>
      <c r="C23" s="50"/>
      <c r="D23" s="51">
        <v>2477.26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>
        <v>304389.58</v>
      </c>
      <c r="V23" s="52" t="s">
        <v>284</v>
      </c>
      <c r="W23" s="26"/>
      <c r="X23" s="19"/>
      <c r="Y23" s="19"/>
      <c r="Z23" s="19"/>
    </row>
    <row r="24" ht="14.25" customHeight="1">
      <c r="A24" s="53">
        <v>45180.0</v>
      </c>
      <c r="B24" s="62"/>
      <c r="C24" s="50"/>
      <c r="D24" s="51">
        <v>12866.12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1">
        <v>157538.34</v>
      </c>
      <c r="V24" s="52" t="s">
        <v>34</v>
      </c>
      <c r="W24" s="14"/>
      <c r="X24" s="19"/>
      <c r="Y24" s="19"/>
      <c r="Z24" s="19"/>
    </row>
    <row r="25" ht="14.25" customHeight="1">
      <c r="A25" s="53">
        <v>45180.0</v>
      </c>
      <c r="B25" s="49"/>
      <c r="C25" s="50"/>
      <c r="D25" s="51">
        <v>6286.87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7" t="s">
        <v>75</v>
      </c>
      <c r="W25" s="14"/>
      <c r="X25" s="19"/>
      <c r="Y25" s="19"/>
      <c r="Z25" s="19"/>
    </row>
    <row r="26" ht="14.25" customHeight="1">
      <c r="A26" s="53">
        <v>45181.0</v>
      </c>
      <c r="B26" s="62"/>
      <c r="C26" s="62"/>
      <c r="D26" s="51">
        <v>197.4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>
        <v>7218.0</v>
      </c>
      <c r="V26" s="57" t="s">
        <v>74</v>
      </c>
      <c r="X26" s="19"/>
      <c r="Y26" s="19"/>
      <c r="Z26" s="19"/>
    </row>
    <row r="27" ht="14.25" customHeight="1">
      <c r="A27" s="53">
        <v>45181.0</v>
      </c>
      <c r="B27" s="62"/>
      <c r="C27" s="62"/>
      <c r="D27" s="51">
        <v>23700.38</v>
      </c>
      <c r="E27" s="51">
        <v>3300.0</v>
      </c>
      <c r="F27" s="50"/>
      <c r="G27" s="50"/>
      <c r="H27" s="51">
        <v>50000.0</v>
      </c>
      <c r="I27" s="50"/>
      <c r="J27" s="50"/>
      <c r="K27" s="50"/>
      <c r="L27" s="50"/>
      <c r="M27" s="50"/>
      <c r="N27" s="50"/>
      <c r="O27" s="50"/>
      <c r="P27" s="50"/>
      <c r="Q27" s="51">
        <v>900.0</v>
      </c>
      <c r="R27" s="50"/>
      <c r="S27" s="50"/>
      <c r="T27" s="50"/>
      <c r="U27" s="51">
        <v>1600.0</v>
      </c>
      <c r="V27" s="52" t="s">
        <v>80</v>
      </c>
      <c r="X27" s="19"/>
      <c r="Y27" s="19"/>
      <c r="Z27" s="19"/>
    </row>
    <row r="28" ht="14.25" customHeight="1">
      <c r="A28" s="53">
        <v>45182.0</v>
      </c>
      <c r="B28" s="57" t="s">
        <v>285</v>
      </c>
      <c r="C28" s="63">
        <v>100000.0</v>
      </c>
      <c r="D28" s="51">
        <v>6068.07</v>
      </c>
      <c r="E28" s="50"/>
      <c r="F28" s="50"/>
      <c r="G28" s="51">
        <v>11025.0</v>
      </c>
      <c r="H28" s="51">
        <v>4725.0</v>
      </c>
      <c r="I28" s="50"/>
      <c r="J28" s="50"/>
      <c r="K28" s="50"/>
      <c r="L28" s="50"/>
      <c r="M28" s="50"/>
      <c r="N28" s="50"/>
      <c r="O28" s="50"/>
      <c r="P28" s="50"/>
      <c r="Q28" s="51">
        <v>82580.75</v>
      </c>
      <c r="R28" s="50"/>
      <c r="S28" s="50"/>
      <c r="T28" s="50"/>
      <c r="U28" s="51">
        <v>79484.89</v>
      </c>
      <c r="V28" s="57" t="s">
        <v>286</v>
      </c>
      <c r="W28" s="26"/>
      <c r="X28" s="19"/>
      <c r="Y28" s="19"/>
      <c r="Z28" s="19"/>
    </row>
    <row r="29" ht="14.25" customHeight="1">
      <c r="A29" s="53">
        <v>45182.0</v>
      </c>
      <c r="B29" s="60" t="s">
        <v>287</v>
      </c>
      <c r="C29" s="64">
        <v>7869562.72</v>
      </c>
      <c r="D29" s="51">
        <v>149.5</v>
      </c>
      <c r="E29" s="50"/>
      <c r="F29" s="50"/>
      <c r="G29" s="50"/>
      <c r="H29" s="50"/>
      <c r="I29" s="50"/>
      <c r="J29" s="50"/>
      <c r="K29" s="50"/>
      <c r="L29" s="51">
        <v>64158.0</v>
      </c>
      <c r="M29" s="50"/>
      <c r="N29" s="50"/>
      <c r="O29" s="50"/>
      <c r="P29" s="50"/>
      <c r="Q29" s="50"/>
      <c r="R29" s="50"/>
      <c r="S29" s="50"/>
      <c r="T29" s="50"/>
      <c r="U29" s="50"/>
      <c r="V29" s="57" t="s">
        <v>288</v>
      </c>
      <c r="W29" s="26"/>
      <c r="X29" s="19"/>
      <c r="Y29" s="19"/>
      <c r="Z29" s="19"/>
    </row>
    <row r="30" ht="14.25" customHeight="1">
      <c r="A30" s="53">
        <v>45183.0</v>
      </c>
      <c r="B30" s="62"/>
      <c r="C30" s="62"/>
      <c r="D30" s="51">
        <v>2000.0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7" t="s">
        <v>289</v>
      </c>
      <c r="X30" s="19"/>
      <c r="Y30" s="19"/>
      <c r="Z30" s="19"/>
    </row>
    <row r="31" ht="14.25" customHeight="1">
      <c r="A31" s="53">
        <v>45183.0</v>
      </c>
      <c r="B31" s="62"/>
      <c r="C31" s="62"/>
      <c r="D31" s="51">
        <v>1732.6</v>
      </c>
      <c r="E31" s="50"/>
      <c r="F31" s="50"/>
      <c r="G31" s="50"/>
      <c r="H31" s="51">
        <v>134528.0</v>
      </c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7" t="s">
        <v>267</v>
      </c>
      <c r="W31" s="26"/>
      <c r="X31" s="19"/>
      <c r="Y31" s="19"/>
      <c r="Z31" s="19"/>
    </row>
    <row r="32" ht="14.25" customHeight="1">
      <c r="A32" s="53">
        <v>45184.0</v>
      </c>
      <c r="B32" s="56"/>
      <c r="C32" s="50"/>
      <c r="D32" s="51">
        <v>3838.92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62"/>
      <c r="W32" s="26"/>
      <c r="X32" s="19"/>
      <c r="Y32" s="19"/>
      <c r="Z32" s="19"/>
    </row>
    <row r="33" ht="14.25" customHeight="1">
      <c r="A33" s="53">
        <v>45184.0</v>
      </c>
      <c r="B33" s="56"/>
      <c r="C33" s="50"/>
      <c r="D33" s="51">
        <v>3620.2</v>
      </c>
      <c r="E33" s="51">
        <v>1320.0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1">
        <v>5400.0</v>
      </c>
      <c r="R33" s="50"/>
      <c r="S33" s="50"/>
      <c r="T33" s="50"/>
      <c r="U33" s="50"/>
      <c r="V33" s="62"/>
      <c r="X33" s="19"/>
      <c r="Y33" s="19"/>
      <c r="Z33" s="19"/>
    </row>
    <row r="34" ht="14.25" customHeight="1">
      <c r="A34" s="53">
        <v>45185.0</v>
      </c>
      <c r="B34" s="56"/>
      <c r="C34" s="50"/>
      <c r="D34" s="51">
        <v>6311.03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62"/>
      <c r="X34" s="19"/>
      <c r="Y34" s="19"/>
      <c r="Z34" s="19"/>
    </row>
    <row r="35" ht="14.25" customHeight="1">
      <c r="A35" s="53">
        <v>45185.0</v>
      </c>
      <c r="B35" s="56"/>
      <c r="C35" s="50"/>
      <c r="D35" s="51">
        <v>6101.0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62"/>
      <c r="X35" s="19"/>
      <c r="Y35" s="19"/>
      <c r="Z35" s="19"/>
    </row>
    <row r="36" ht="14.25" customHeight="1">
      <c r="A36" s="53">
        <v>45186.0</v>
      </c>
      <c r="B36" s="56"/>
      <c r="C36" s="50"/>
      <c r="D36" s="51">
        <v>1732.17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62"/>
      <c r="X36" s="19"/>
      <c r="Y36" s="19"/>
      <c r="Z36" s="19"/>
    </row>
    <row r="37" ht="14.25" customHeight="1">
      <c r="A37" s="53">
        <v>45186.0</v>
      </c>
      <c r="B37" s="62"/>
      <c r="C37" s="50"/>
      <c r="D37" s="51">
        <v>24.0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62"/>
      <c r="X37" s="19"/>
      <c r="Y37" s="19"/>
      <c r="Z37" s="19"/>
    </row>
    <row r="38" ht="14.25" customHeight="1">
      <c r="A38" s="53">
        <v>45187.0</v>
      </c>
      <c r="B38" s="52" t="s">
        <v>181</v>
      </c>
      <c r="C38" s="51">
        <v>1178.4</v>
      </c>
      <c r="D38" s="51">
        <v>1642.96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62"/>
      <c r="X38" s="19"/>
      <c r="Y38" s="19"/>
      <c r="Z38" s="19"/>
    </row>
    <row r="39" ht="14.25" customHeight="1">
      <c r="A39" s="53">
        <v>45187.0</v>
      </c>
      <c r="B39" s="49"/>
      <c r="C39" s="50"/>
      <c r="D39" s="51">
        <v>121903.6</v>
      </c>
      <c r="E39" s="51">
        <v>240.0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62"/>
      <c r="X39" s="19"/>
      <c r="Y39" s="19"/>
      <c r="Z39" s="19"/>
    </row>
    <row r="40" ht="14.25" customHeight="1">
      <c r="A40" s="53">
        <v>45188.0</v>
      </c>
      <c r="B40" s="52" t="s">
        <v>181</v>
      </c>
      <c r="C40" s="51">
        <v>19640.0</v>
      </c>
      <c r="D40" s="51">
        <v>2948.0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62"/>
      <c r="X40" s="19"/>
      <c r="Y40" s="19"/>
      <c r="Z40" s="19"/>
    </row>
    <row r="41" ht="14.25" customHeight="1">
      <c r="A41" s="53">
        <v>45188.0</v>
      </c>
      <c r="B41" s="49"/>
      <c r="C41" s="50"/>
      <c r="D41" s="51">
        <v>1597.0</v>
      </c>
      <c r="E41" s="50"/>
      <c r="F41" s="50"/>
      <c r="G41" s="50"/>
      <c r="H41" s="50"/>
      <c r="I41" s="50"/>
      <c r="J41" s="50"/>
      <c r="K41" s="50"/>
      <c r="L41" s="51">
        <v>89300.0</v>
      </c>
      <c r="M41" s="50"/>
      <c r="N41" s="50"/>
      <c r="O41" s="50"/>
      <c r="P41" s="50"/>
      <c r="Q41" s="51">
        <v>518.04</v>
      </c>
      <c r="R41" s="50"/>
      <c r="S41" s="50"/>
      <c r="T41" s="50"/>
      <c r="U41" s="50"/>
      <c r="V41" s="62"/>
      <c r="X41" s="19"/>
      <c r="Y41" s="19"/>
      <c r="Z41" s="19"/>
    </row>
    <row r="42" ht="14.25" customHeight="1">
      <c r="A42" s="53">
        <v>45189.0</v>
      </c>
      <c r="B42" s="49"/>
      <c r="C42" s="50"/>
      <c r="D42" s="51">
        <v>2912.16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62"/>
      <c r="X42" s="19"/>
      <c r="Y42" s="19"/>
      <c r="Z42" s="19"/>
    </row>
    <row r="43" ht="14.25" customHeight="1">
      <c r="A43" s="53">
        <v>45189.0</v>
      </c>
      <c r="B43" s="49"/>
      <c r="C43" s="50"/>
      <c r="D43" s="51">
        <v>10004.0</v>
      </c>
      <c r="E43" s="50"/>
      <c r="F43" s="50"/>
      <c r="G43" s="50"/>
      <c r="H43" s="50"/>
      <c r="I43" s="50"/>
      <c r="J43" s="50"/>
      <c r="K43" s="50"/>
      <c r="L43" s="51">
        <v>29535.0</v>
      </c>
      <c r="M43" s="50"/>
      <c r="N43" s="50"/>
      <c r="O43" s="50"/>
      <c r="P43" s="50"/>
      <c r="Q43" s="50"/>
      <c r="R43" s="50"/>
      <c r="S43" s="50"/>
      <c r="T43" s="50"/>
      <c r="U43" s="50"/>
      <c r="V43" s="62"/>
      <c r="X43" s="19"/>
      <c r="Y43" s="19"/>
      <c r="Z43" s="19"/>
    </row>
    <row r="44" ht="14.25" customHeight="1">
      <c r="A44" s="53">
        <v>45190.0</v>
      </c>
      <c r="B44" s="65"/>
      <c r="C44" s="65"/>
      <c r="D44" s="63">
        <v>5329.61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ht="14.25" customHeight="1">
      <c r="A45" s="53">
        <v>45190.0</v>
      </c>
      <c r="B45" s="56"/>
      <c r="C45" s="62"/>
      <c r="D45" s="63">
        <v>1000.5</v>
      </c>
      <c r="E45" s="65"/>
      <c r="F45" s="65"/>
      <c r="G45" s="63">
        <v>138350.0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ht="14.25" customHeight="1">
      <c r="A46" s="53">
        <v>45191.0</v>
      </c>
      <c r="B46" s="65"/>
      <c r="C46" s="65"/>
      <c r="D46" s="63">
        <v>4282.32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ht="14.25" customHeight="1">
      <c r="A47" s="53">
        <v>45191.0</v>
      </c>
      <c r="B47" s="58" t="s">
        <v>290</v>
      </c>
      <c r="C47" s="63">
        <v>40705.0</v>
      </c>
      <c r="D47" s="63">
        <v>2979.0</v>
      </c>
      <c r="E47" s="65"/>
      <c r="F47" s="65"/>
      <c r="G47" s="65"/>
      <c r="H47" s="63">
        <v>66360.0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ht="14.25" customHeight="1">
      <c r="A48" s="53">
        <v>45192.0</v>
      </c>
      <c r="B48" s="65"/>
      <c r="C48" s="65"/>
      <c r="D48" s="63">
        <v>4040.0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ht="14.25" customHeight="1">
      <c r="A49" s="53">
        <v>45192.0</v>
      </c>
      <c r="B49" s="65"/>
      <c r="C49" s="65"/>
      <c r="D49" s="63">
        <v>1538.26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ht="14.25" customHeight="1">
      <c r="A50" s="53">
        <v>45193.0</v>
      </c>
      <c r="B50" s="65"/>
      <c r="C50" s="65"/>
      <c r="D50" s="63">
        <v>780.23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ht="14.25" customHeight="1">
      <c r="A51" s="53">
        <v>45193.0</v>
      </c>
      <c r="B51" s="65"/>
      <c r="C51" s="65"/>
      <c r="D51" s="63">
        <v>110.0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ht="14.25" customHeight="1">
      <c r="A52" s="53">
        <v>45194.0</v>
      </c>
      <c r="B52" s="65"/>
      <c r="C52" s="65"/>
      <c r="D52" s="63">
        <v>6858.83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ht="14.25" customHeight="1">
      <c r="A53" s="53">
        <v>45194.0</v>
      </c>
      <c r="B53" s="65"/>
      <c r="C53" s="65"/>
      <c r="D53" s="63">
        <v>2160.5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3">
        <v>3600.0</v>
      </c>
      <c r="R53" s="65"/>
      <c r="S53" s="65"/>
      <c r="T53" s="65"/>
      <c r="U53" s="65"/>
      <c r="V53" s="65"/>
    </row>
    <row r="54" ht="14.25" customHeight="1">
      <c r="A54" s="53">
        <v>45195.0</v>
      </c>
      <c r="B54" s="65"/>
      <c r="C54" s="65"/>
      <c r="D54" s="63">
        <v>4595.49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ht="14.25" customHeight="1">
      <c r="A55" s="53">
        <v>45195.0</v>
      </c>
      <c r="B55" s="57" t="s">
        <v>291</v>
      </c>
      <c r="C55" s="63">
        <v>3005909.0</v>
      </c>
      <c r="D55" s="63">
        <v>14641.2</v>
      </c>
      <c r="E55" s="65"/>
      <c r="F55" s="65"/>
      <c r="G55" s="65"/>
      <c r="H55" s="65"/>
      <c r="I55" s="65"/>
      <c r="J55" s="65"/>
      <c r="K55" s="65"/>
      <c r="L55" s="63">
        <v>31850.0</v>
      </c>
      <c r="M55" s="65"/>
      <c r="N55" s="63">
        <v>4353126.14</v>
      </c>
      <c r="O55" s="65"/>
      <c r="P55" s="65"/>
      <c r="Q55" s="65"/>
      <c r="R55" s="63">
        <v>70849.84</v>
      </c>
      <c r="S55" s="65"/>
      <c r="T55" s="65"/>
      <c r="U55" s="65"/>
      <c r="V55" s="65"/>
    </row>
    <row r="56" ht="14.25" customHeight="1">
      <c r="A56" s="53">
        <v>45196.0</v>
      </c>
      <c r="B56" s="65"/>
      <c r="C56" s="65"/>
      <c r="D56" s="63">
        <v>100.0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ht="14.25" customHeight="1">
      <c r="A57" s="53">
        <v>45196.0</v>
      </c>
      <c r="B57" s="65"/>
      <c r="C57" s="65"/>
      <c r="D57" s="63">
        <v>62341.0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ht="14.25" customHeight="1">
      <c r="A58" s="66">
        <v>45196.0</v>
      </c>
      <c r="B58" s="56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ht="14.25" customHeight="1">
      <c r="A59" s="66">
        <v>45196.0</v>
      </c>
      <c r="B59" s="57" t="s">
        <v>261</v>
      </c>
      <c r="C59" s="63">
        <v>33222.0</v>
      </c>
      <c r="D59" s="63">
        <v>1500.0</v>
      </c>
      <c r="E59" s="65"/>
      <c r="F59" s="65"/>
      <c r="G59" s="63">
        <v>357542.4</v>
      </c>
      <c r="H59" s="63">
        <v>87890.0</v>
      </c>
      <c r="I59" s="65"/>
      <c r="J59" s="65"/>
      <c r="K59" s="65"/>
      <c r="L59" s="63">
        <v>2368558.23</v>
      </c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ht="14.25" customHeight="1">
      <c r="A60" s="53">
        <v>45197.0</v>
      </c>
      <c r="B60" s="57" t="s">
        <v>292</v>
      </c>
      <c r="C60" s="63">
        <v>1344938.65</v>
      </c>
      <c r="D60" s="63">
        <v>7554.64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ht="14.25" customHeight="1">
      <c r="A61" s="53">
        <v>45197.0</v>
      </c>
      <c r="B61" s="67"/>
      <c r="C61" s="65"/>
      <c r="D61" s="63">
        <v>1501.0</v>
      </c>
      <c r="E61" s="63">
        <v>1.2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ht="14.25" customHeight="1">
      <c r="A62" s="53">
        <v>45198.0</v>
      </c>
      <c r="B62" s="57" t="s">
        <v>293</v>
      </c>
      <c r="C62" s="63">
        <v>35000.0</v>
      </c>
      <c r="D62" s="63">
        <v>283858.5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ht="14.25" customHeight="1">
      <c r="A63" s="53">
        <v>45198.0</v>
      </c>
      <c r="B63" s="57" t="s">
        <v>235</v>
      </c>
      <c r="C63" s="63">
        <v>4500.0</v>
      </c>
      <c r="D63" s="63">
        <v>6062.92</v>
      </c>
      <c r="E63" s="65"/>
      <c r="F63" s="65"/>
      <c r="G63" s="65"/>
      <c r="H63" s="65"/>
      <c r="I63" s="65"/>
      <c r="J63" s="65"/>
      <c r="K63" s="65"/>
      <c r="L63" s="63">
        <v>1147869.0</v>
      </c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ht="14.25" customHeight="1">
      <c r="A64" s="53">
        <v>45199.0</v>
      </c>
      <c r="B64" s="65"/>
      <c r="C64" s="65"/>
      <c r="D64" s="63">
        <v>1000.0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ht="14.25" customHeight="1">
      <c r="A65" s="53">
        <v>45199.0</v>
      </c>
      <c r="B65" s="65"/>
      <c r="C65" s="65"/>
      <c r="D65" s="63">
        <v>2949.93</v>
      </c>
      <c r="E65" s="65"/>
      <c r="F65" s="63">
        <v>19.72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ht="14.25" customHeight="1">
      <c r="A66" s="37" t="s">
        <v>50</v>
      </c>
      <c r="B66" s="24"/>
      <c r="C66" s="24">
        <f>SUM(C4:C65)</f>
        <v>12497303.01</v>
      </c>
      <c r="D66" s="24">
        <f t="shared" ref="D66:V66" si="1">SUM(D3:D65)</f>
        <v>712376.09</v>
      </c>
      <c r="E66" s="24">
        <f t="shared" si="1"/>
        <v>5521.2</v>
      </c>
      <c r="F66" s="24">
        <f t="shared" si="1"/>
        <v>19.72</v>
      </c>
      <c r="G66" s="24">
        <f t="shared" si="1"/>
        <v>706917.4</v>
      </c>
      <c r="H66" s="24">
        <f t="shared" si="1"/>
        <v>393503</v>
      </c>
      <c r="I66" s="24">
        <f t="shared" si="1"/>
        <v>0</v>
      </c>
      <c r="J66" s="24">
        <f t="shared" si="1"/>
        <v>240000</v>
      </c>
      <c r="K66" s="24">
        <f t="shared" si="1"/>
        <v>0</v>
      </c>
      <c r="L66" s="24">
        <f t="shared" si="1"/>
        <v>3781410.23</v>
      </c>
      <c r="M66" s="24">
        <f t="shared" si="1"/>
        <v>0</v>
      </c>
      <c r="N66" s="24">
        <f t="shared" si="1"/>
        <v>4353126.14</v>
      </c>
      <c r="O66" s="24">
        <f t="shared" si="1"/>
        <v>0</v>
      </c>
      <c r="P66" s="24">
        <f t="shared" si="1"/>
        <v>0</v>
      </c>
      <c r="Q66" s="24">
        <f t="shared" si="1"/>
        <v>101618.79</v>
      </c>
      <c r="R66" s="24">
        <f t="shared" si="1"/>
        <v>70849.84</v>
      </c>
      <c r="S66" s="24">
        <f t="shared" si="1"/>
        <v>0</v>
      </c>
      <c r="T66" s="24">
        <f t="shared" si="1"/>
        <v>0</v>
      </c>
      <c r="U66" s="24">
        <f t="shared" si="1"/>
        <v>1177603.49</v>
      </c>
      <c r="V66" s="24">
        <f t="shared" si="1"/>
        <v>0</v>
      </c>
      <c r="W66" s="25"/>
      <c r="X66" s="25"/>
      <c r="Y66" s="25"/>
      <c r="Z66" s="25"/>
    </row>
    <row r="67" ht="14.25" customHeight="1">
      <c r="A67" s="38"/>
    </row>
    <row r="68" ht="14.25" customHeight="1">
      <c r="A68" s="38"/>
      <c r="B68" s="7"/>
      <c r="C68" s="7"/>
      <c r="D68" s="7"/>
    </row>
    <row r="69" ht="14.25" customHeight="1">
      <c r="A69" s="38"/>
      <c r="B69" s="7"/>
      <c r="C69" s="7"/>
      <c r="D69" s="7"/>
    </row>
    <row r="70" ht="14.25" customHeight="1">
      <c r="A70" s="38"/>
      <c r="B70" s="7"/>
      <c r="C70" s="7"/>
      <c r="D70" s="7"/>
    </row>
    <row r="71" ht="14.25" customHeight="1">
      <c r="A71" s="38"/>
      <c r="B71" s="7"/>
      <c r="C71" s="7"/>
      <c r="D71" s="7"/>
    </row>
    <row r="72" ht="14.25" customHeight="1">
      <c r="A72" s="38"/>
      <c r="B72" s="7"/>
      <c r="C72" s="7"/>
      <c r="D72" s="7"/>
    </row>
    <row r="73" ht="14.25" customHeight="1">
      <c r="A73" s="38"/>
      <c r="B73" s="7"/>
      <c r="C73" s="7"/>
      <c r="D73" s="7"/>
    </row>
    <row r="74" ht="14.25" customHeight="1">
      <c r="A74" s="38"/>
      <c r="B74" s="7"/>
      <c r="C74" s="7"/>
      <c r="D74" s="7"/>
    </row>
    <row r="75" ht="14.25" customHeight="1">
      <c r="A75" s="38"/>
    </row>
    <row r="76" ht="14.25" customHeight="1">
      <c r="A76" s="38"/>
    </row>
    <row r="77" ht="14.25" customHeight="1">
      <c r="A77" s="38"/>
    </row>
    <row r="78" ht="14.25" customHeight="1">
      <c r="A78" s="38"/>
    </row>
    <row r="79" ht="14.25" customHeight="1">
      <c r="A79" s="38"/>
    </row>
    <row r="80" ht="14.25" customHeight="1">
      <c r="A80" s="38"/>
    </row>
    <row r="81" ht="14.25" customHeight="1">
      <c r="A81" s="38"/>
    </row>
    <row r="82" ht="14.25" customHeight="1">
      <c r="A82" s="38"/>
    </row>
    <row r="83" ht="14.25" customHeight="1">
      <c r="A83" s="38"/>
    </row>
    <row r="84" ht="14.25" customHeight="1">
      <c r="A84" s="38"/>
    </row>
    <row r="85" ht="14.25" customHeight="1">
      <c r="A85" s="38"/>
    </row>
    <row r="86" ht="14.25" customHeight="1">
      <c r="A86" s="38"/>
    </row>
    <row r="87" ht="14.25" customHeight="1">
      <c r="A87" s="38"/>
    </row>
    <row r="88" ht="14.25" customHeight="1">
      <c r="A88" s="38"/>
    </row>
    <row r="89" ht="14.25" customHeight="1">
      <c r="A89" s="38"/>
    </row>
    <row r="90" ht="14.25" customHeight="1">
      <c r="A90" s="38"/>
    </row>
    <row r="91" ht="14.25" customHeight="1">
      <c r="A91" s="38"/>
    </row>
    <row r="92" ht="14.25" customHeight="1">
      <c r="A92" s="38"/>
    </row>
    <row r="93" ht="14.25" customHeight="1">
      <c r="A93" s="38"/>
    </row>
    <row r="94" ht="14.25" customHeight="1">
      <c r="A94" s="38"/>
    </row>
    <row r="95" ht="14.25" customHeight="1">
      <c r="A95" s="38"/>
    </row>
    <row r="96" ht="14.25" customHeight="1">
      <c r="A96" s="38"/>
    </row>
    <row r="97" ht="14.25" customHeight="1">
      <c r="A97" s="38"/>
    </row>
    <row r="98" ht="14.25" customHeight="1">
      <c r="A98" s="38"/>
    </row>
    <row r="99" ht="14.25" customHeight="1">
      <c r="A99" s="38"/>
    </row>
    <row r="100" ht="14.25" customHeight="1">
      <c r="A100" s="38"/>
    </row>
    <row r="101" ht="14.25" customHeight="1">
      <c r="A101" s="38"/>
    </row>
    <row r="102" ht="14.25" customHeight="1">
      <c r="A102" s="38"/>
    </row>
    <row r="103" ht="14.25" customHeight="1">
      <c r="A103" s="38"/>
    </row>
    <row r="104" ht="14.25" customHeight="1">
      <c r="A104" s="38"/>
    </row>
    <row r="105" ht="14.25" customHeight="1">
      <c r="A105" s="38"/>
    </row>
    <row r="106" ht="14.25" customHeight="1">
      <c r="A106" s="38"/>
    </row>
    <row r="107" ht="14.25" customHeight="1">
      <c r="A107" s="38"/>
    </row>
    <row r="108" ht="14.25" customHeight="1">
      <c r="A108" s="38"/>
    </row>
    <row r="109" ht="14.25" customHeight="1">
      <c r="A109" s="38"/>
    </row>
    <row r="110" ht="14.25" customHeight="1">
      <c r="A110" s="38"/>
    </row>
    <row r="111" ht="14.25" customHeight="1">
      <c r="A111" s="38"/>
    </row>
    <row r="112" ht="14.25" customHeight="1">
      <c r="A112" s="38"/>
    </row>
    <row r="113" ht="14.25" customHeight="1">
      <c r="A113" s="38"/>
    </row>
    <row r="114" ht="14.25" customHeight="1">
      <c r="A114" s="38"/>
    </row>
    <row r="115" ht="14.25" customHeight="1">
      <c r="A115" s="38"/>
    </row>
    <row r="116" ht="14.25" customHeight="1">
      <c r="A116" s="38"/>
    </row>
    <row r="117" ht="14.25" customHeight="1">
      <c r="A117" s="38"/>
    </row>
    <row r="118" ht="14.25" customHeight="1">
      <c r="A118" s="38"/>
    </row>
    <row r="119" ht="14.25" customHeight="1">
      <c r="A119" s="38"/>
    </row>
    <row r="120" ht="14.25" customHeight="1">
      <c r="A120" s="38"/>
    </row>
    <row r="121" ht="14.25" customHeight="1">
      <c r="A121" s="38"/>
    </row>
    <row r="122" ht="14.25" customHeight="1">
      <c r="A122" s="38"/>
    </row>
    <row r="123" ht="14.25" customHeight="1">
      <c r="A123" s="38"/>
    </row>
    <row r="124" ht="14.25" customHeight="1">
      <c r="A124" s="38"/>
    </row>
    <row r="125" ht="14.25" customHeight="1">
      <c r="A125" s="38"/>
    </row>
    <row r="126" ht="14.25" customHeight="1">
      <c r="A126" s="38"/>
    </row>
    <row r="127" ht="14.25" customHeight="1">
      <c r="A127" s="38"/>
    </row>
    <row r="128" ht="14.25" customHeight="1">
      <c r="A128" s="38"/>
    </row>
    <row r="129" ht="14.25" customHeight="1">
      <c r="A129" s="38"/>
    </row>
    <row r="130" ht="14.25" customHeight="1">
      <c r="A130" s="38"/>
    </row>
    <row r="131" ht="14.25" customHeight="1">
      <c r="A131" s="38"/>
    </row>
    <row r="132" ht="14.25" customHeight="1">
      <c r="A132" s="38"/>
    </row>
    <row r="133" ht="14.25" customHeight="1">
      <c r="A133" s="38"/>
    </row>
    <row r="134" ht="14.25" customHeight="1">
      <c r="A134" s="38"/>
    </row>
    <row r="135" ht="14.25" customHeight="1">
      <c r="A135" s="38"/>
    </row>
    <row r="136" ht="14.25" customHeight="1">
      <c r="A136" s="38"/>
    </row>
    <row r="137" ht="14.25" customHeight="1">
      <c r="A137" s="38"/>
    </row>
    <row r="138" ht="14.25" customHeight="1">
      <c r="A138" s="38"/>
    </row>
    <row r="139" ht="14.25" customHeight="1">
      <c r="A139" s="38"/>
    </row>
    <row r="140" ht="14.25" customHeight="1">
      <c r="A140" s="38"/>
    </row>
    <row r="141" ht="14.25" customHeight="1">
      <c r="A141" s="38"/>
    </row>
    <row r="142" ht="14.25" customHeight="1">
      <c r="A142" s="38"/>
    </row>
    <row r="143" ht="14.25" customHeight="1">
      <c r="A143" s="38"/>
    </row>
    <row r="144" ht="14.25" customHeight="1">
      <c r="A144" s="38"/>
    </row>
    <row r="145" ht="14.25" customHeight="1">
      <c r="A145" s="38"/>
    </row>
    <row r="146" ht="14.25" customHeight="1">
      <c r="A146" s="38"/>
    </row>
    <row r="147" ht="14.25" customHeight="1">
      <c r="A147" s="38"/>
    </row>
    <row r="148" ht="14.25" customHeight="1">
      <c r="A148" s="38"/>
    </row>
    <row r="149" ht="14.25" customHeight="1">
      <c r="A149" s="38"/>
    </row>
    <row r="150" ht="14.25" customHeight="1">
      <c r="A150" s="38"/>
    </row>
    <row r="151" ht="14.25" customHeight="1">
      <c r="A151" s="38"/>
    </row>
    <row r="152" ht="14.25" customHeight="1">
      <c r="A152" s="38"/>
    </row>
    <row r="153" ht="14.25" customHeight="1">
      <c r="A153" s="38"/>
    </row>
    <row r="154" ht="14.25" customHeight="1">
      <c r="A154" s="38"/>
    </row>
    <row r="155" ht="14.25" customHeight="1">
      <c r="A155" s="38"/>
    </row>
    <row r="156" ht="14.25" customHeight="1">
      <c r="A156" s="38"/>
    </row>
    <row r="157" ht="14.25" customHeight="1">
      <c r="A157" s="38"/>
    </row>
    <row r="158" ht="14.25" customHeight="1">
      <c r="A158" s="38"/>
    </row>
    <row r="159" ht="14.25" customHeight="1">
      <c r="A159" s="38"/>
    </row>
    <row r="160" ht="14.25" customHeight="1">
      <c r="A160" s="38"/>
    </row>
    <row r="161" ht="14.25" customHeight="1">
      <c r="A161" s="38"/>
    </row>
    <row r="162" ht="14.25" customHeight="1">
      <c r="A162" s="38"/>
    </row>
    <row r="163" ht="14.25" customHeight="1">
      <c r="A163" s="38"/>
    </row>
    <row r="164" ht="14.25" customHeight="1">
      <c r="A164" s="38"/>
    </row>
    <row r="165" ht="14.25" customHeight="1">
      <c r="A165" s="38"/>
    </row>
    <row r="166" ht="14.25" customHeight="1">
      <c r="A166" s="38"/>
    </row>
    <row r="167" ht="14.25" customHeight="1">
      <c r="A167" s="38"/>
    </row>
    <row r="168" ht="14.25" customHeight="1">
      <c r="A168" s="38"/>
    </row>
    <row r="169" ht="14.25" customHeight="1">
      <c r="A169" s="38"/>
    </row>
    <row r="170" ht="14.25" customHeight="1">
      <c r="A170" s="38"/>
    </row>
    <row r="171" ht="14.25" customHeight="1">
      <c r="A171" s="38"/>
    </row>
    <row r="172" ht="14.25" customHeight="1">
      <c r="A172" s="38"/>
    </row>
    <row r="173" ht="14.25" customHeight="1">
      <c r="A173" s="38"/>
    </row>
    <row r="174" ht="14.25" customHeight="1">
      <c r="A174" s="38"/>
    </row>
    <row r="175" ht="14.25" customHeight="1">
      <c r="A175" s="38"/>
    </row>
    <row r="176" ht="14.25" customHeight="1">
      <c r="A176" s="38"/>
    </row>
    <row r="177" ht="14.25" customHeight="1">
      <c r="A177" s="38"/>
    </row>
    <row r="178" ht="14.25" customHeight="1">
      <c r="A178" s="38"/>
    </row>
    <row r="179" ht="14.25" customHeight="1">
      <c r="A179" s="38"/>
    </row>
    <row r="180" ht="14.25" customHeight="1">
      <c r="A180" s="38"/>
    </row>
    <row r="181" ht="14.25" customHeight="1">
      <c r="A181" s="38"/>
    </row>
    <row r="182" ht="14.25" customHeight="1">
      <c r="A182" s="38"/>
    </row>
    <row r="183" ht="14.25" customHeight="1">
      <c r="A183" s="38"/>
    </row>
    <row r="184" ht="14.25" customHeight="1">
      <c r="A184" s="38"/>
    </row>
    <row r="185" ht="14.25" customHeight="1">
      <c r="A185" s="38"/>
    </row>
    <row r="186" ht="14.25" customHeight="1">
      <c r="A186" s="38"/>
    </row>
    <row r="187" ht="14.25" customHeight="1">
      <c r="A187" s="38"/>
    </row>
    <row r="188" ht="14.25" customHeight="1">
      <c r="A188" s="38"/>
    </row>
    <row r="189" ht="14.25" customHeight="1">
      <c r="A189" s="38"/>
    </row>
    <row r="190" ht="14.25" customHeight="1">
      <c r="A190" s="38"/>
    </row>
    <row r="191" ht="14.25" customHeight="1">
      <c r="A191" s="38"/>
    </row>
    <row r="192" ht="14.25" customHeight="1">
      <c r="A192" s="38"/>
    </row>
    <row r="193" ht="14.25" customHeight="1">
      <c r="A193" s="38"/>
    </row>
    <row r="194" ht="14.25" customHeight="1">
      <c r="A194" s="38"/>
    </row>
    <row r="195" ht="14.25" customHeight="1">
      <c r="A195" s="38"/>
    </row>
    <row r="196" ht="14.25" customHeight="1">
      <c r="A196" s="38"/>
    </row>
    <row r="197" ht="14.25" customHeight="1">
      <c r="A197" s="38"/>
    </row>
    <row r="198" ht="14.25" customHeight="1">
      <c r="A198" s="38"/>
    </row>
    <row r="199" ht="14.25" customHeight="1">
      <c r="A199" s="38"/>
    </row>
    <row r="200" ht="14.25" customHeight="1">
      <c r="A200" s="38"/>
    </row>
    <row r="201" ht="14.25" customHeight="1">
      <c r="A201" s="38"/>
    </row>
    <row r="202" ht="14.25" customHeight="1">
      <c r="A202" s="38"/>
    </row>
    <row r="203" ht="14.25" customHeight="1">
      <c r="A203" s="38"/>
    </row>
    <row r="204" ht="14.25" customHeight="1">
      <c r="A204" s="38"/>
    </row>
    <row r="205" ht="14.25" customHeight="1">
      <c r="A205" s="38"/>
    </row>
    <row r="206" ht="14.25" customHeight="1">
      <c r="A206" s="38"/>
    </row>
    <row r="207" ht="14.25" customHeight="1">
      <c r="A207" s="38"/>
    </row>
    <row r="208" ht="14.25" customHeight="1">
      <c r="A208" s="38"/>
    </row>
    <row r="209" ht="14.25" customHeight="1">
      <c r="A209" s="38"/>
    </row>
    <row r="210" ht="14.25" customHeight="1">
      <c r="A210" s="38"/>
    </row>
    <row r="211" ht="14.25" customHeight="1">
      <c r="A211" s="38"/>
    </row>
    <row r="212" ht="14.25" customHeight="1">
      <c r="A212" s="38"/>
    </row>
    <row r="213" ht="14.25" customHeight="1">
      <c r="A213" s="38"/>
    </row>
    <row r="214" ht="14.25" customHeight="1">
      <c r="A214" s="38"/>
    </row>
    <row r="215" ht="14.25" customHeight="1">
      <c r="A215" s="38"/>
    </row>
    <row r="216" ht="14.25" customHeight="1">
      <c r="A216" s="38"/>
    </row>
    <row r="217" ht="14.25" customHeight="1">
      <c r="A217" s="38"/>
    </row>
    <row r="218" ht="14.25" customHeight="1">
      <c r="A218" s="38"/>
    </row>
    <row r="219" ht="14.25" customHeight="1">
      <c r="A219" s="38"/>
    </row>
    <row r="220" ht="14.25" customHeight="1">
      <c r="A220" s="38"/>
    </row>
    <row r="221" ht="14.25" customHeight="1">
      <c r="A221" s="38"/>
    </row>
    <row r="222" ht="14.25" customHeight="1">
      <c r="A222" s="38"/>
    </row>
    <row r="223" ht="14.25" customHeight="1">
      <c r="A223" s="38"/>
    </row>
    <row r="224" ht="14.25" customHeight="1">
      <c r="A224" s="38"/>
    </row>
    <row r="225" ht="14.25" customHeight="1">
      <c r="A225" s="38"/>
    </row>
    <row r="226" ht="14.25" customHeight="1">
      <c r="A226" s="38"/>
    </row>
    <row r="227" ht="14.25" customHeight="1">
      <c r="A227" s="38"/>
    </row>
    <row r="228" ht="14.25" customHeight="1">
      <c r="A228" s="38"/>
    </row>
    <row r="229" ht="14.25" customHeight="1">
      <c r="A229" s="38"/>
    </row>
    <row r="230" ht="14.25" customHeight="1">
      <c r="A230" s="38"/>
    </row>
    <row r="231" ht="14.25" customHeight="1">
      <c r="A231" s="38"/>
    </row>
    <row r="232" ht="14.25" customHeight="1">
      <c r="A232" s="38"/>
    </row>
    <row r="233" ht="14.25" customHeight="1">
      <c r="A233" s="38"/>
    </row>
    <row r="234" ht="14.25" customHeight="1">
      <c r="A234" s="38"/>
    </row>
    <row r="235" ht="14.25" customHeight="1">
      <c r="A235" s="38"/>
    </row>
    <row r="236" ht="14.25" customHeight="1">
      <c r="A236" s="38"/>
    </row>
    <row r="237" ht="14.25" customHeight="1">
      <c r="A237" s="38"/>
    </row>
    <row r="238" ht="14.25" customHeight="1">
      <c r="A238" s="38"/>
    </row>
    <row r="239" ht="14.25" customHeight="1">
      <c r="A239" s="38"/>
    </row>
    <row r="240" ht="14.25" customHeight="1">
      <c r="A240" s="38"/>
    </row>
    <row r="241" ht="14.25" customHeight="1">
      <c r="A241" s="38"/>
    </row>
    <row r="242" ht="14.25" customHeight="1">
      <c r="A242" s="38"/>
    </row>
    <row r="243" ht="14.25" customHeight="1">
      <c r="A243" s="38"/>
    </row>
    <row r="244" ht="14.25" customHeight="1">
      <c r="A244" s="38"/>
    </row>
    <row r="245" ht="14.25" customHeight="1">
      <c r="A245" s="38"/>
    </row>
    <row r="246" ht="14.25" customHeight="1">
      <c r="A246" s="38"/>
    </row>
    <row r="247" ht="14.25" customHeight="1">
      <c r="A247" s="38"/>
    </row>
    <row r="248" ht="14.25" customHeight="1">
      <c r="A248" s="38"/>
    </row>
    <row r="249" ht="14.25" customHeight="1">
      <c r="A249" s="38"/>
    </row>
    <row r="250" ht="14.25" customHeight="1">
      <c r="A250" s="38"/>
    </row>
    <row r="251" ht="14.25" customHeight="1">
      <c r="A251" s="38"/>
    </row>
    <row r="252" ht="14.25" customHeight="1">
      <c r="A252" s="38"/>
    </row>
    <row r="253" ht="14.25" customHeight="1">
      <c r="A253" s="38"/>
    </row>
    <row r="254" ht="14.25" customHeight="1">
      <c r="A254" s="38"/>
    </row>
    <row r="255" ht="14.25" customHeight="1">
      <c r="A255" s="38"/>
    </row>
    <row r="256" ht="14.25" customHeight="1">
      <c r="A256" s="38"/>
    </row>
    <row r="257" ht="14.25" customHeight="1">
      <c r="A257" s="38"/>
    </row>
    <row r="258" ht="14.25" customHeight="1">
      <c r="A258" s="38"/>
    </row>
    <row r="259" ht="14.25" customHeight="1">
      <c r="A259" s="38"/>
    </row>
    <row r="260" ht="14.25" customHeight="1">
      <c r="A260" s="38"/>
    </row>
    <row r="261" ht="14.25" customHeight="1">
      <c r="A261" s="38"/>
    </row>
    <row r="262" ht="14.25" customHeight="1">
      <c r="A262" s="38"/>
    </row>
    <row r="263" ht="14.25" customHeight="1">
      <c r="A263" s="38"/>
    </row>
    <row r="264" ht="14.25" customHeight="1">
      <c r="A264" s="38"/>
    </row>
    <row r="265" ht="14.25" customHeight="1">
      <c r="A265" s="38"/>
    </row>
    <row r="266" ht="14.25" customHeight="1">
      <c r="A266" s="38"/>
    </row>
    <row r="267" ht="15.75" customHeight="1">
      <c r="A267" s="38"/>
    </row>
    <row r="268" ht="15.75" customHeight="1">
      <c r="A268" s="38"/>
    </row>
    <row r="269" ht="15.75" customHeight="1">
      <c r="A269" s="38"/>
    </row>
    <row r="270" ht="15.75" customHeight="1">
      <c r="A270" s="38"/>
    </row>
    <row r="271" ht="15.75" customHeight="1">
      <c r="A271" s="38"/>
    </row>
    <row r="272" ht="15.75" customHeight="1">
      <c r="A272" s="38"/>
    </row>
    <row r="273" ht="15.75" customHeight="1">
      <c r="A273" s="38"/>
    </row>
    <row r="274" ht="15.75" customHeight="1">
      <c r="A274" s="38"/>
    </row>
    <row r="275" ht="15.75" customHeight="1">
      <c r="A275" s="38"/>
    </row>
    <row r="276" ht="15.75" customHeight="1">
      <c r="A276" s="38"/>
    </row>
    <row r="277" ht="15.75" customHeight="1">
      <c r="A277" s="38"/>
    </row>
    <row r="278" ht="15.75" customHeight="1">
      <c r="A278" s="38"/>
    </row>
    <row r="279" ht="15.75" customHeight="1">
      <c r="A279" s="38"/>
    </row>
    <row r="280" ht="15.75" customHeight="1">
      <c r="A280" s="38"/>
    </row>
    <row r="281" ht="15.75" customHeight="1">
      <c r="A281" s="38"/>
    </row>
    <row r="282" ht="15.75" customHeight="1">
      <c r="A282" s="38"/>
    </row>
    <row r="283" ht="15.75" customHeight="1">
      <c r="A283" s="38"/>
    </row>
    <row r="284" ht="15.75" customHeight="1">
      <c r="A284" s="38"/>
    </row>
    <row r="285" ht="15.75" customHeight="1">
      <c r="A285" s="38"/>
    </row>
    <row r="286" ht="15.75" customHeight="1">
      <c r="A286" s="38"/>
    </row>
    <row r="287" ht="15.75" customHeight="1">
      <c r="A287" s="38"/>
    </row>
    <row r="288" ht="15.75" customHeight="1">
      <c r="A288" s="38"/>
    </row>
    <row r="289" ht="15.75" customHeight="1">
      <c r="A289" s="38"/>
    </row>
    <row r="290" ht="15.75" customHeight="1">
      <c r="A290" s="38"/>
    </row>
    <row r="291" ht="15.75" customHeight="1">
      <c r="A291" s="38"/>
    </row>
    <row r="292" ht="15.75" customHeight="1">
      <c r="A292" s="38"/>
    </row>
    <row r="293" ht="15.75" customHeight="1">
      <c r="A293" s="38"/>
    </row>
    <row r="294" ht="15.75" customHeight="1">
      <c r="A294" s="38"/>
    </row>
    <row r="295" ht="15.75" customHeight="1">
      <c r="A295" s="38"/>
    </row>
    <row r="296" ht="15.75" customHeight="1">
      <c r="A296" s="38"/>
    </row>
    <row r="297" ht="15.75" customHeight="1">
      <c r="A297" s="38"/>
    </row>
    <row r="298" ht="15.75" customHeight="1">
      <c r="A298" s="38"/>
    </row>
    <row r="299" ht="15.75" customHeight="1">
      <c r="A299" s="38"/>
    </row>
    <row r="300" ht="15.75" customHeight="1">
      <c r="A300" s="38"/>
    </row>
    <row r="301" ht="15.75" customHeight="1">
      <c r="A301" s="38"/>
    </row>
    <row r="302" ht="15.75" customHeight="1">
      <c r="A302" s="38"/>
    </row>
    <row r="303" ht="15.75" customHeight="1">
      <c r="A303" s="38"/>
    </row>
    <row r="304" ht="15.75" customHeight="1">
      <c r="A304" s="38"/>
    </row>
    <row r="305" ht="15.75" customHeight="1">
      <c r="A305" s="38"/>
    </row>
    <row r="306" ht="15.75" customHeight="1">
      <c r="A306" s="38"/>
    </row>
    <row r="307" ht="15.75" customHeight="1">
      <c r="A307" s="38"/>
    </row>
    <row r="308" ht="15.75" customHeight="1">
      <c r="A308" s="38"/>
    </row>
    <row r="309" ht="15.75" customHeight="1">
      <c r="A309" s="38"/>
    </row>
    <row r="310" ht="15.75" customHeight="1">
      <c r="A310" s="38"/>
    </row>
    <row r="311" ht="15.75" customHeight="1">
      <c r="A311" s="38"/>
    </row>
    <row r="312" ht="15.75" customHeight="1">
      <c r="A312" s="38"/>
    </row>
    <row r="313" ht="15.75" customHeight="1">
      <c r="A313" s="38"/>
    </row>
    <row r="314" ht="15.75" customHeight="1">
      <c r="A314" s="38"/>
    </row>
    <row r="315" ht="15.75" customHeight="1">
      <c r="A315" s="38"/>
    </row>
    <row r="316" ht="15.75" customHeight="1">
      <c r="A316" s="38"/>
    </row>
    <row r="317" ht="15.75" customHeight="1">
      <c r="A317" s="38"/>
    </row>
    <row r="318" ht="15.75" customHeight="1">
      <c r="A318" s="38"/>
    </row>
    <row r="319" ht="15.75" customHeight="1">
      <c r="A319" s="38"/>
    </row>
    <row r="320" ht="15.75" customHeight="1">
      <c r="A320" s="38"/>
    </row>
    <row r="321" ht="15.75" customHeight="1">
      <c r="A321" s="38"/>
    </row>
    <row r="322" ht="15.75" customHeight="1">
      <c r="A322" s="38"/>
    </row>
    <row r="323" ht="15.75" customHeight="1">
      <c r="A323" s="38"/>
    </row>
    <row r="324" ht="15.75" customHeight="1">
      <c r="A324" s="38"/>
    </row>
    <row r="325" ht="15.75" customHeight="1">
      <c r="A325" s="38"/>
    </row>
    <row r="326" ht="15.75" customHeight="1">
      <c r="A326" s="38"/>
    </row>
    <row r="327" ht="15.75" customHeight="1">
      <c r="A327" s="38"/>
    </row>
    <row r="328" ht="15.75" customHeight="1">
      <c r="A328" s="38"/>
    </row>
    <row r="329" ht="15.75" customHeight="1">
      <c r="A329" s="38"/>
    </row>
    <row r="330" ht="15.75" customHeight="1">
      <c r="A330" s="38"/>
    </row>
    <row r="331" ht="15.75" customHeight="1">
      <c r="A331" s="38"/>
    </row>
    <row r="332" ht="15.75" customHeight="1">
      <c r="A332" s="38"/>
    </row>
    <row r="333" ht="15.75" customHeight="1">
      <c r="A333" s="38"/>
    </row>
    <row r="334" ht="15.75" customHeight="1">
      <c r="A334" s="38"/>
    </row>
    <row r="335" ht="15.75" customHeight="1">
      <c r="A335" s="38"/>
    </row>
    <row r="336" ht="15.75" customHeight="1">
      <c r="A336" s="38"/>
    </row>
    <row r="337" ht="15.75" customHeight="1">
      <c r="A337" s="38"/>
    </row>
    <row r="338" ht="15.75" customHeight="1">
      <c r="A338" s="38"/>
    </row>
    <row r="339" ht="15.75" customHeight="1">
      <c r="A339" s="38"/>
    </row>
    <row r="340" ht="15.75" customHeight="1">
      <c r="A340" s="38"/>
    </row>
    <row r="341" ht="15.75" customHeight="1">
      <c r="A341" s="38"/>
    </row>
    <row r="342" ht="15.75" customHeight="1">
      <c r="A342" s="38"/>
    </row>
    <row r="343" ht="15.75" customHeight="1">
      <c r="A343" s="38"/>
    </row>
    <row r="344" ht="15.75" customHeight="1">
      <c r="A344" s="38"/>
    </row>
    <row r="345" ht="15.75" customHeight="1">
      <c r="A345" s="38"/>
    </row>
    <row r="346" ht="15.75" customHeight="1">
      <c r="A346" s="38"/>
    </row>
    <row r="347" ht="15.75" customHeight="1">
      <c r="A347" s="38"/>
    </row>
    <row r="348" ht="15.75" customHeight="1">
      <c r="A348" s="38"/>
    </row>
    <row r="349" ht="15.75" customHeight="1">
      <c r="A349" s="38"/>
    </row>
    <row r="350" ht="15.75" customHeight="1">
      <c r="A350" s="38"/>
    </row>
    <row r="351" ht="15.75" customHeight="1">
      <c r="A351" s="38"/>
    </row>
    <row r="352" ht="15.75" customHeight="1">
      <c r="A352" s="38"/>
    </row>
    <row r="353" ht="15.75" customHeight="1">
      <c r="A353" s="38"/>
    </row>
    <row r="354" ht="15.75" customHeight="1">
      <c r="A354" s="38"/>
    </row>
    <row r="355" ht="15.75" customHeight="1">
      <c r="A355" s="38"/>
    </row>
    <row r="356" ht="15.75" customHeight="1">
      <c r="A356" s="38"/>
    </row>
    <row r="357" ht="15.75" customHeight="1">
      <c r="A357" s="38"/>
    </row>
    <row r="358" ht="15.75" customHeight="1">
      <c r="A358" s="38"/>
    </row>
    <row r="359" ht="15.75" customHeight="1">
      <c r="A359" s="38"/>
    </row>
    <row r="360" ht="15.75" customHeight="1">
      <c r="A360" s="38"/>
    </row>
    <row r="361" ht="15.75" customHeight="1">
      <c r="A361" s="38"/>
    </row>
    <row r="362" ht="15.75" customHeight="1">
      <c r="A362" s="38"/>
    </row>
    <row r="363" ht="15.75" customHeight="1">
      <c r="A363" s="38"/>
    </row>
    <row r="364" ht="15.75" customHeight="1">
      <c r="A364" s="38"/>
    </row>
    <row r="365" ht="15.75" customHeight="1">
      <c r="A365" s="38"/>
    </row>
    <row r="366" ht="15.75" customHeight="1">
      <c r="A366" s="38"/>
    </row>
    <row r="367" ht="15.75" customHeight="1">
      <c r="A367" s="38"/>
    </row>
    <row r="368" ht="15.75" customHeight="1">
      <c r="A368" s="38"/>
    </row>
    <row r="369" ht="15.75" customHeight="1">
      <c r="A369" s="38"/>
    </row>
    <row r="370" ht="15.75" customHeight="1">
      <c r="A370" s="38"/>
    </row>
    <row r="371" ht="15.75" customHeight="1">
      <c r="A371" s="38"/>
    </row>
    <row r="372" ht="15.75" customHeight="1">
      <c r="A372" s="38"/>
    </row>
    <row r="373" ht="15.75" customHeight="1">
      <c r="A373" s="38"/>
    </row>
    <row r="374" ht="15.75" customHeight="1">
      <c r="A374" s="38"/>
    </row>
    <row r="375" ht="15.75" customHeight="1">
      <c r="A375" s="38"/>
    </row>
    <row r="376" ht="15.75" customHeight="1">
      <c r="A376" s="38"/>
    </row>
    <row r="377" ht="15.75" customHeight="1">
      <c r="A377" s="38"/>
    </row>
    <row r="378" ht="15.75" customHeight="1">
      <c r="A378" s="38"/>
    </row>
    <row r="379" ht="15.75" customHeight="1">
      <c r="A379" s="38"/>
    </row>
    <row r="380" ht="15.75" customHeight="1">
      <c r="A380" s="38"/>
    </row>
    <row r="381" ht="15.75" customHeight="1">
      <c r="A381" s="38"/>
    </row>
    <row r="382" ht="15.75" customHeight="1">
      <c r="A382" s="38"/>
    </row>
    <row r="383" ht="15.75" customHeight="1">
      <c r="A383" s="38"/>
    </row>
    <row r="384" ht="15.75" customHeight="1">
      <c r="A384" s="38"/>
    </row>
    <row r="385" ht="15.75" customHeight="1">
      <c r="A385" s="38"/>
    </row>
    <row r="386" ht="15.75" customHeight="1">
      <c r="A386" s="38"/>
    </row>
    <row r="387" ht="15.75" customHeight="1">
      <c r="A387" s="38"/>
    </row>
    <row r="388" ht="15.75" customHeight="1">
      <c r="A388" s="38"/>
    </row>
    <row r="389" ht="15.75" customHeight="1">
      <c r="A389" s="38"/>
    </row>
    <row r="390" ht="15.75" customHeight="1">
      <c r="A390" s="38"/>
    </row>
    <row r="391" ht="15.75" customHeight="1">
      <c r="A391" s="38"/>
    </row>
    <row r="392" ht="15.75" customHeight="1">
      <c r="A392" s="38"/>
    </row>
    <row r="393" ht="15.75" customHeight="1">
      <c r="A393" s="38"/>
    </row>
    <row r="394" ht="15.75" customHeight="1">
      <c r="A394" s="38"/>
    </row>
    <row r="395" ht="15.75" customHeight="1">
      <c r="A395" s="38"/>
    </row>
    <row r="396" ht="15.75" customHeight="1">
      <c r="A396" s="38"/>
    </row>
    <row r="397" ht="15.75" customHeight="1">
      <c r="A397" s="38"/>
    </row>
    <row r="398" ht="15.75" customHeight="1">
      <c r="A398" s="38"/>
    </row>
    <row r="399" ht="15.75" customHeight="1">
      <c r="A399" s="38"/>
    </row>
    <row r="400" ht="15.75" customHeight="1">
      <c r="A400" s="38"/>
    </row>
    <row r="401" ht="15.75" customHeight="1">
      <c r="A401" s="38"/>
    </row>
    <row r="402" ht="15.75" customHeight="1">
      <c r="A402" s="38"/>
    </row>
    <row r="403" ht="15.75" customHeight="1">
      <c r="A403" s="38"/>
    </row>
    <row r="404" ht="15.75" customHeight="1">
      <c r="A404" s="38"/>
    </row>
    <row r="405" ht="15.75" customHeight="1">
      <c r="A405" s="38"/>
    </row>
    <row r="406" ht="15.75" customHeight="1">
      <c r="A406" s="38"/>
    </row>
    <row r="407" ht="15.75" customHeight="1">
      <c r="A407" s="38"/>
    </row>
    <row r="408" ht="15.75" customHeight="1">
      <c r="A408" s="38"/>
    </row>
    <row r="409" ht="15.75" customHeight="1">
      <c r="A409" s="38"/>
    </row>
    <row r="410" ht="15.75" customHeight="1">
      <c r="A410" s="38"/>
    </row>
    <row r="411" ht="15.75" customHeight="1">
      <c r="A411" s="38"/>
    </row>
    <row r="412" ht="15.75" customHeight="1">
      <c r="A412" s="38"/>
    </row>
    <row r="413" ht="15.75" customHeight="1">
      <c r="A413" s="38"/>
    </row>
    <row r="414" ht="15.75" customHeight="1">
      <c r="A414" s="38"/>
    </row>
    <row r="415" ht="15.75" customHeight="1">
      <c r="A415" s="38"/>
    </row>
    <row r="416" ht="15.75" customHeight="1">
      <c r="A416" s="38"/>
    </row>
    <row r="417" ht="15.75" customHeight="1">
      <c r="A417" s="38"/>
    </row>
    <row r="418" ht="15.75" customHeight="1">
      <c r="A418" s="38"/>
    </row>
    <row r="419" ht="15.75" customHeight="1">
      <c r="A419" s="38"/>
    </row>
    <row r="420" ht="15.75" customHeight="1">
      <c r="A420" s="38"/>
    </row>
    <row r="421" ht="15.75" customHeight="1">
      <c r="A421" s="38"/>
    </row>
    <row r="422" ht="15.75" customHeight="1">
      <c r="A422" s="38"/>
    </row>
    <row r="423" ht="15.75" customHeight="1">
      <c r="A423" s="38"/>
    </row>
    <row r="424" ht="15.75" customHeight="1">
      <c r="A424" s="38"/>
    </row>
    <row r="425" ht="15.75" customHeight="1">
      <c r="A425" s="38"/>
    </row>
    <row r="426" ht="15.75" customHeight="1">
      <c r="A426" s="38"/>
    </row>
    <row r="427" ht="15.75" customHeight="1">
      <c r="A427" s="38"/>
    </row>
    <row r="428" ht="15.75" customHeight="1">
      <c r="A428" s="38"/>
    </row>
    <row r="429" ht="15.75" customHeight="1">
      <c r="A429" s="38"/>
    </row>
    <row r="430" ht="15.75" customHeight="1">
      <c r="A430" s="38"/>
    </row>
    <row r="431" ht="15.75" customHeight="1">
      <c r="A431" s="38"/>
    </row>
    <row r="432" ht="15.75" customHeight="1">
      <c r="A432" s="38"/>
    </row>
    <row r="433" ht="15.75" customHeight="1">
      <c r="A433" s="38"/>
    </row>
    <row r="434" ht="15.75" customHeight="1">
      <c r="A434" s="38"/>
    </row>
    <row r="435" ht="15.75" customHeight="1">
      <c r="A435" s="38"/>
    </row>
    <row r="436" ht="15.75" customHeight="1">
      <c r="A436" s="38"/>
    </row>
    <row r="437" ht="15.75" customHeight="1">
      <c r="A437" s="38"/>
    </row>
    <row r="438" ht="15.75" customHeight="1">
      <c r="A438" s="38"/>
    </row>
    <row r="439" ht="15.75" customHeight="1">
      <c r="A439" s="38"/>
    </row>
    <row r="440" ht="15.75" customHeight="1">
      <c r="A440" s="38"/>
    </row>
    <row r="441" ht="15.75" customHeight="1">
      <c r="A441" s="38"/>
    </row>
    <row r="442" ht="15.75" customHeight="1">
      <c r="A442" s="38"/>
    </row>
    <row r="443" ht="15.75" customHeight="1">
      <c r="A443" s="38"/>
    </row>
    <row r="444" ht="15.75" customHeight="1">
      <c r="A444" s="38"/>
    </row>
    <row r="445" ht="15.75" customHeight="1">
      <c r="A445" s="38"/>
    </row>
    <row r="446" ht="15.75" customHeight="1">
      <c r="A446" s="38"/>
    </row>
    <row r="447" ht="15.75" customHeight="1">
      <c r="A447" s="38"/>
    </row>
    <row r="448" ht="15.75" customHeight="1">
      <c r="A448" s="38"/>
    </row>
    <row r="449" ht="15.75" customHeight="1">
      <c r="A449" s="38"/>
    </row>
    <row r="450" ht="15.75" customHeight="1">
      <c r="A450" s="38"/>
    </row>
    <row r="451" ht="15.75" customHeight="1">
      <c r="A451" s="38"/>
    </row>
    <row r="452" ht="15.75" customHeight="1">
      <c r="A452" s="38"/>
    </row>
    <row r="453" ht="15.75" customHeight="1">
      <c r="A453" s="38"/>
    </row>
    <row r="454" ht="15.75" customHeight="1">
      <c r="A454" s="38"/>
    </row>
    <row r="455" ht="15.75" customHeight="1">
      <c r="A455" s="38"/>
    </row>
    <row r="456" ht="15.75" customHeight="1">
      <c r="A456" s="38"/>
    </row>
    <row r="457" ht="15.75" customHeight="1">
      <c r="A457" s="38"/>
    </row>
    <row r="458" ht="15.75" customHeight="1">
      <c r="A458" s="38"/>
    </row>
    <row r="459" ht="15.75" customHeight="1">
      <c r="A459" s="38"/>
    </row>
    <row r="460" ht="15.75" customHeight="1">
      <c r="A460" s="38"/>
    </row>
    <row r="461" ht="15.75" customHeight="1">
      <c r="A461" s="38"/>
    </row>
    <row r="462" ht="15.75" customHeight="1">
      <c r="A462" s="38"/>
    </row>
    <row r="463" ht="15.75" customHeight="1">
      <c r="A463" s="38"/>
    </row>
    <row r="464" ht="15.75" customHeight="1">
      <c r="A464" s="38"/>
    </row>
    <row r="465" ht="15.75" customHeight="1">
      <c r="A465" s="38"/>
    </row>
    <row r="466" ht="15.75" customHeight="1">
      <c r="A466" s="38"/>
    </row>
    <row r="467" ht="15.75" customHeight="1">
      <c r="A467" s="38"/>
    </row>
    <row r="468" ht="15.75" customHeight="1">
      <c r="A468" s="38"/>
    </row>
    <row r="469" ht="15.75" customHeight="1">
      <c r="A469" s="38"/>
    </row>
    <row r="470" ht="15.75" customHeight="1">
      <c r="A470" s="38"/>
    </row>
    <row r="471" ht="15.75" customHeight="1">
      <c r="A471" s="38"/>
    </row>
    <row r="472" ht="15.75" customHeight="1">
      <c r="A472" s="38"/>
    </row>
    <row r="473" ht="15.75" customHeight="1">
      <c r="A473" s="38"/>
    </row>
    <row r="474" ht="15.75" customHeight="1">
      <c r="A474" s="38"/>
    </row>
    <row r="475" ht="15.75" customHeight="1">
      <c r="A475" s="38"/>
    </row>
    <row r="476" ht="15.75" customHeight="1">
      <c r="A476" s="38"/>
    </row>
    <row r="477" ht="15.75" customHeight="1">
      <c r="A477" s="38"/>
    </row>
    <row r="478" ht="15.75" customHeight="1">
      <c r="A478" s="38"/>
    </row>
    <row r="479" ht="15.75" customHeight="1">
      <c r="A479" s="38"/>
    </row>
    <row r="480" ht="15.75" customHeight="1">
      <c r="A480" s="38"/>
    </row>
    <row r="481" ht="15.75" customHeight="1">
      <c r="A481" s="38"/>
    </row>
    <row r="482" ht="15.75" customHeight="1">
      <c r="A482" s="38"/>
    </row>
    <row r="483" ht="15.75" customHeight="1">
      <c r="A483" s="38"/>
    </row>
    <row r="484" ht="15.75" customHeight="1">
      <c r="A484" s="38"/>
    </row>
    <row r="485" ht="15.75" customHeight="1">
      <c r="A485" s="38"/>
    </row>
    <row r="486" ht="15.75" customHeight="1">
      <c r="A486" s="38"/>
    </row>
    <row r="487" ht="15.75" customHeight="1">
      <c r="A487" s="38"/>
    </row>
    <row r="488" ht="15.75" customHeight="1">
      <c r="A488" s="38"/>
    </row>
    <row r="489" ht="15.75" customHeight="1">
      <c r="A489" s="38"/>
    </row>
    <row r="490" ht="15.75" customHeight="1">
      <c r="A490" s="38"/>
    </row>
    <row r="491" ht="15.75" customHeight="1">
      <c r="A491" s="38"/>
    </row>
    <row r="492" ht="15.75" customHeight="1">
      <c r="A492" s="38"/>
    </row>
    <row r="493" ht="15.75" customHeight="1">
      <c r="A493" s="38"/>
    </row>
    <row r="494" ht="15.75" customHeight="1">
      <c r="A494" s="38"/>
    </row>
    <row r="495" ht="15.75" customHeight="1">
      <c r="A495" s="38"/>
    </row>
    <row r="496" ht="15.75" customHeight="1">
      <c r="A496" s="38"/>
    </row>
    <row r="497" ht="15.75" customHeight="1">
      <c r="A497" s="38"/>
    </row>
    <row r="498" ht="15.75" customHeight="1">
      <c r="A498" s="38"/>
    </row>
    <row r="499" ht="15.75" customHeight="1">
      <c r="A499" s="38"/>
    </row>
    <row r="500" ht="15.75" customHeight="1">
      <c r="A500" s="38"/>
    </row>
    <row r="501" ht="15.75" customHeight="1">
      <c r="A501" s="38"/>
    </row>
    <row r="502" ht="15.75" customHeight="1">
      <c r="A502" s="38"/>
    </row>
    <row r="503" ht="15.75" customHeight="1">
      <c r="A503" s="38"/>
    </row>
    <row r="504" ht="15.75" customHeight="1">
      <c r="A504" s="38"/>
    </row>
    <row r="505" ht="15.75" customHeight="1">
      <c r="A505" s="38"/>
    </row>
    <row r="506" ht="15.75" customHeight="1">
      <c r="A506" s="38"/>
    </row>
    <row r="507" ht="15.75" customHeight="1">
      <c r="A507" s="38"/>
    </row>
    <row r="508" ht="15.75" customHeight="1">
      <c r="A508" s="38"/>
    </row>
    <row r="509" ht="15.75" customHeight="1">
      <c r="A509" s="38"/>
    </row>
    <row r="510" ht="15.75" customHeight="1">
      <c r="A510" s="38"/>
    </row>
    <row r="511" ht="15.75" customHeight="1">
      <c r="A511" s="38"/>
    </row>
    <row r="512" ht="15.75" customHeight="1">
      <c r="A512" s="38"/>
    </row>
    <row r="513" ht="15.75" customHeight="1">
      <c r="A513" s="38"/>
    </row>
    <row r="514" ht="15.75" customHeight="1">
      <c r="A514" s="38"/>
    </row>
    <row r="515" ht="15.75" customHeight="1">
      <c r="A515" s="38"/>
    </row>
    <row r="516" ht="15.75" customHeight="1">
      <c r="A516" s="38"/>
    </row>
    <row r="517" ht="15.75" customHeight="1">
      <c r="A517" s="38"/>
    </row>
    <row r="518" ht="15.75" customHeight="1">
      <c r="A518" s="38"/>
    </row>
    <row r="519" ht="15.75" customHeight="1">
      <c r="A519" s="38"/>
    </row>
    <row r="520" ht="15.75" customHeight="1">
      <c r="A520" s="38"/>
    </row>
    <row r="521" ht="15.75" customHeight="1">
      <c r="A521" s="38"/>
    </row>
    <row r="522" ht="15.75" customHeight="1">
      <c r="A522" s="38"/>
    </row>
    <row r="523" ht="15.75" customHeight="1">
      <c r="A523" s="38"/>
    </row>
    <row r="524" ht="15.75" customHeight="1">
      <c r="A524" s="38"/>
    </row>
    <row r="525" ht="15.75" customHeight="1">
      <c r="A525" s="38"/>
    </row>
    <row r="526" ht="15.75" customHeight="1">
      <c r="A526" s="38"/>
    </row>
    <row r="527" ht="15.75" customHeight="1">
      <c r="A527" s="38"/>
    </row>
    <row r="528" ht="15.75" customHeight="1">
      <c r="A528" s="38"/>
    </row>
    <row r="529" ht="15.75" customHeight="1">
      <c r="A529" s="38"/>
    </row>
    <row r="530" ht="15.75" customHeight="1">
      <c r="A530" s="38"/>
    </row>
    <row r="531" ht="15.75" customHeight="1">
      <c r="A531" s="38"/>
    </row>
    <row r="532" ht="15.75" customHeight="1">
      <c r="A532" s="38"/>
    </row>
    <row r="533" ht="15.75" customHeight="1">
      <c r="A533" s="38"/>
    </row>
    <row r="534" ht="15.75" customHeight="1">
      <c r="A534" s="38"/>
    </row>
    <row r="535" ht="15.75" customHeight="1">
      <c r="A535" s="38"/>
    </row>
    <row r="536" ht="15.75" customHeight="1">
      <c r="A536" s="38"/>
    </row>
    <row r="537" ht="15.75" customHeight="1">
      <c r="A537" s="38"/>
    </row>
    <row r="538" ht="15.75" customHeight="1">
      <c r="A538" s="38"/>
    </row>
    <row r="539" ht="15.75" customHeight="1">
      <c r="A539" s="38"/>
    </row>
    <row r="540" ht="15.75" customHeight="1">
      <c r="A540" s="38"/>
    </row>
    <row r="541" ht="15.75" customHeight="1">
      <c r="A541" s="38"/>
    </row>
    <row r="542" ht="15.75" customHeight="1">
      <c r="A542" s="38"/>
    </row>
    <row r="543" ht="15.75" customHeight="1">
      <c r="A543" s="38"/>
    </row>
    <row r="544" ht="15.75" customHeight="1">
      <c r="A544" s="38"/>
    </row>
    <row r="545" ht="15.75" customHeight="1">
      <c r="A545" s="38"/>
    </row>
    <row r="546" ht="15.75" customHeight="1">
      <c r="A546" s="38"/>
    </row>
    <row r="547" ht="15.75" customHeight="1">
      <c r="A547" s="38"/>
    </row>
    <row r="548" ht="15.75" customHeight="1">
      <c r="A548" s="38"/>
    </row>
    <row r="549" ht="15.75" customHeight="1">
      <c r="A549" s="38"/>
    </row>
    <row r="550" ht="15.75" customHeight="1">
      <c r="A550" s="38"/>
    </row>
    <row r="551" ht="15.75" customHeight="1">
      <c r="A551" s="38"/>
    </row>
    <row r="552" ht="15.75" customHeight="1">
      <c r="A552" s="38"/>
    </row>
    <row r="553" ht="15.75" customHeight="1">
      <c r="A553" s="38"/>
    </row>
    <row r="554" ht="15.75" customHeight="1">
      <c r="A554" s="38"/>
    </row>
    <row r="555" ht="15.75" customHeight="1">
      <c r="A555" s="38"/>
    </row>
    <row r="556" ht="15.75" customHeight="1">
      <c r="A556" s="38"/>
    </row>
    <row r="557" ht="15.75" customHeight="1">
      <c r="A557" s="38"/>
    </row>
    <row r="558" ht="15.75" customHeight="1">
      <c r="A558" s="38"/>
    </row>
    <row r="559" ht="15.75" customHeight="1">
      <c r="A559" s="38"/>
    </row>
    <row r="560" ht="15.75" customHeight="1">
      <c r="A560" s="38"/>
    </row>
    <row r="561" ht="15.75" customHeight="1">
      <c r="A561" s="38"/>
    </row>
    <row r="562" ht="15.75" customHeight="1">
      <c r="A562" s="38"/>
    </row>
    <row r="563" ht="15.75" customHeight="1">
      <c r="A563" s="38"/>
    </row>
    <row r="564" ht="15.75" customHeight="1">
      <c r="A564" s="38"/>
    </row>
    <row r="565" ht="15.75" customHeight="1">
      <c r="A565" s="38"/>
    </row>
    <row r="566" ht="15.75" customHeight="1">
      <c r="A566" s="38"/>
    </row>
    <row r="567" ht="15.75" customHeight="1">
      <c r="A567" s="38"/>
    </row>
    <row r="568" ht="15.75" customHeight="1">
      <c r="A568" s="38"/>
    </row>
    <row r="569" ht="15.75" customHeight="1">
      <c r="A569" s="38"/>
    </row>
    <row r="570" ht="15.75" customHeight="1">
      <c r="A570" s="38"/>
    </row>
    <row r="571" ht="15.75" customHeight="1">
      <c r="A571" s="38"/>
    </row>
    <row r="572" ht="15.75" customHeight="1">
      <c r="A572" s="38"/>
    </row>
    <row r="573" ht="15.75" customHeight="1">
      <c r="A573" s="38"/>
    </row>
    <row r="574" ht="15.75" customHeight="1">
      <c r="A574" s="38"/>
    </row>
    <row r="575" ht="15.75" customHeight="1">
      <c r="A575" s="38"/>
    </row>
    <row r="576" ht="15.75" customHeight="1">
      <c r="A576" s="38"/>
    </row>
    <row r="577" ht="15.75" customHeight="1">
      <c r="A577" s="38"/>
    </row>
    <row r="578" ht="15.75" customHeight="1">
      <c r="A578" s="38"/>
    </row>
    <row r="579" ht="15.75" customHeight="1">
      <c r="A579" s="38"/>
    </row>
    <row r="580" ht="15.75" customHeight="1">
      <c r="A580" s="38"/>
    </row>
    <row r="581" ht="15.75" customHeight="1">
      <c r="A581" s="38"/>
    </row>
    <row r="582" ht="15.75" customHeight="1">
      <c r="A582" s="38"/>
    </row>
    <row r="583" ht="15.75" customHeight="1">
      <c r="A583" s="38"/>
    </row>
    <row r="584" ht="15.75" customHeight="1">
      <c r="A584" s="38"/>
    </row>
    <row r="585" ht="15.75" customHeight="1">
      <c r="A585" s="38"/>
    </row>
    <row r="586" ht="15.75" customHeight="1">
      <c r="A586" s="38"/>
    </row>
    <row r="587" ht="15.75" customHeight="1">
      <c r="A587" s="38"/>
    </row>
    <row r="588" ht="15.75" customHeight="1">
      <c r="A588" s="38"/>
    </row>
    <row r="589" ht="15.75" customHeight="1">
      <c r="A589" s="38"/>
    </row>
    <row r="590" ht="15.75" customHeight="1">
      <c r="A590" s="38"/>
    </row>
    <row r="591" ht="15.75" customHeight="1">
      <c r="A591" s="38"/>
    </row>
    <row r="592" ht="15.75" customHeight="1">
      <c r="A592" s="38"/>
    </row>
    <row r="593" ht="15.75" customHeight="1">
      <c r="A593" s="38"/>
    </row>
    <row r="594" ht="15.75" customHeight="1">
      <c r="A594" s="38"/>
    </row>
    <row r="595" ht="15.75" customHeight="1">
      <c r="A595" s="38"/>
    </row>
    <row r="596" ht="15.75" customHeight="1">
      <c r="A596" s="38"/>
    </row>
    <row r="597" ht="15.75" customHeight="1">
      <c r="A597" s="38"/>
    </row>
    <row r="598" ht="15.75" customHeight="1">
      <c r="A598" s="38"/>
    </row>
    <row r="599" ht="15.75" customHeight="1">
      <c r="A599" s="38"/>
    </row>
    <row r="600" ht="15.75" customHeight="1">
      <c r="A600" s="38"/>
    </row>
    <row r="601" ht="15.75" customHeight="1">
      <c r="A601" s="38"/>
    </row>
    <row r="602" ht="15.75" customHeight="1">
      <c r="A602" s="38"/>
    </row>
    <row r="603" ht="15.75" customHeight="1">
      <c r="A603" s="38"/>
    </row>
    <row r="604" ht="15.75" customHeight="1">
      <c r="A604" s="38"/>
    </row>
    <row r="605" ht="15.75" customHeight="1">
      <c r="A605" s="38"/>
    </row>
    <row r="606" ht="15.75" customHeight="1">
      <c r="A606" s="38"/>
    </row>
    <row r="607" ht="15.75" customHeight="1">
      <c r="A607" s="38"/>
    </row>
    <row r="608" ht="15.75" customHeight="1">
      <c r="A608" s="38"/>
    </row>
    <row r="609" ht="15.75" customHeight="1">
      <c r="A609" s="38"/>
    </row>
    <row r="610" ht="15.75" customHeight="1">
      <c r="A610" s="38"/>
    </row>
    <row r="611" ht="15.75" customHeight="1">
      <c r="A611" s="38"/>
    </row>
    <row r="612" ht="15.75" customHeight="1">
      <c r="A612" s="38"/>
    </row>
    <row r="613" ht="15.75" customHeight="1">
      <c r="A613" s="38"/>
    </row>
    <row r="614" ht="15.75" customHeight="1">
      <c r="A614" s="38"/>
    </row>
    <row r="615" ht="15.75" customHeight="1">
      <c r="A615" s="38"/>
    </row>
    <row r="616" ht="15.75" customHeight="1">
      <c r="A616" s="38"/>
    </row>
    <row r="617" ht="15.75" customHeight="1">
      <c r="A617" s="38"/>
    </row>
    <row r="618" ht="15.75" customHeight="1">
      <c r="A618" s="38"/>
    </row>
    <row r="619" ht="15.75" customHeight="1">
      <c r="A619" s="38"/>
    </row>
    <row r="620" ht="15.75" customHeight="1">
      <c r="A620" s="38"/>
    </row>
    <row r="621" ht="15.75" customHeight="1">
      <c r="A621" s="38"/>
    </row>
    <row r="622" ht="15.75" customHeight="1">
      <c r="A622" s="38"/>
    </row>
    <row r="623" ht="15.75" customHeight="1">
      <c r="A623" s="38"/>
    </row>
    <row r="624" ht="15.75" customHeight="1">
      <c r="A624" s="38"/>
    </row>
    <row r="625" ht="15.75" customHeight="1">
      <c r="A625" s="38"/>
    </row>
    <row r="626" ht="15.75" customHeight="1">
      <c r="A626" s="38"/>
    </row>
    <row r="627" ht="15.75" customHeight="1">
      <c r="A627" s="38"/>
    </row>
    <row r="628" ht="15.75" customHeight="1">
      <c r="A628" s="38"/>
    </row>
    <row r="629" ht="15.75" customHeight="1">
      <c r="A629" s="38"/>
    </row>
    <row r="630" ht="15.75" customHeight="1">
      <c r="A630" s="38"/>
    </row>
    <row r="631" ht="15.75" customHeight="1">
      <c r="A631" s="38"/>
    </row>
    <row r="632" ht="15.75" customHeight="1">
      <c r="A632" s="38"/>
    </row>
    <row r="633" ht="15.75" customHeight="1">
      <c r="A633" s="38"/>
    </row>
    <row r="634" ht="15.75" customHeight="1">
      <c r="A634" s="38"/>
    </row>
    <row r="635" ht="15.75" customHeight="1">
      <c r="A635" s="38"/>
    </row>
    <row r="636" ht="15.75" customHeight="1">
      <c r="A636" s="38"/>
    </row>
    <row r="637" ht="15.75" customHeight="1">
      <c r="A637" s="38"/>
    </row>
    <row r="638" ht="15.75" customHeight="1">
      <c r="A638" s="38"/>
    </row>
    <row r="639" ht="15.75" customHeight="1">
      <c r="A639" s="38"/>
    </row>
    <row r="640" ht="15.75" customHeight="1">
      <c r="A640" s="38"/>
    </row>
    <row r="641" ht="15.75" customHeight="1">
      <c r="A641" s="38"/>
    </row>
    <row r="642" ht="15.75" customHeight="1">
      <c r="A642" s="38"/>
    </row>
    <row r="643" ht="15.75" customHeight="1">
      <c r="A643" s="38"/>
    </row>
    <row r="644" ht="15.75" customHeight="1">
      <c r="A644" s="38"/>
    </row>
    <row r="645" ht="15.75" customHeight="1">
      <c r="A645" s="38"/>
    </row>
    <row r="646" ht="15.75" customHeight="1">
      <c r="A646" s="38"/>
    </row>
    <row r="647" ht="15.75" customHeight="1">
      <c r="A647" s="38"/>
    </row>
    <row r="648" ht="15.75" customHeight="1">
      <c r="A648" s="38"/>
    </row>
    <row r="649" ht="15.75" customHeight="1">
      <c r="A649" s="38"/>
    </row>
    <row r="650" ht="15.75" customHeight="1">
      <c r="A650" s="38"/>
    </row>
    <row r="651" ht="15.75" customHeight="1">
      <c r="A651" s="38"/>
    </row>
    <row r="652" ht="15.75" customHeight="1">
      <c r="A652" s="38"/>
    </row>
    <row r="653" ht="15.75" customHeight="1">
      <c r="A653" s="38"/>
    </row>
    <row r="654" ht="15.75" customHeight="1">
      <c r="A654" s="38"/>
    </row>
    <row r="655" ht="15.75" customHeight="1">
      <c r="A655" s="38"/>
    </row>
    <row r="656" ht="15.75" customHeight="1">
      <c r="A656" s="38"/>
    </row>
    <row r="657" ht="15.75" customHeight="1">
      <c r="A657" s="38"/>
    </row>
    <row r="658" ht="15.75" customHeight="1">
      <c r="A658" s="38"/>
    </row>
    <row r="659" ht="15.75" customHeight="1">
      <c r="A659" s="38"/>
    </row>
    <row r="660" ht="15.75" customHeight="1">
      <c r="A660" s="38"/>
    </row>
    <row r="661" ht="15.75" customHeight="1">
      <c r="A661" s="38"/>
    </row>
    <row r="662" ht="15.75" customHeight="1">
      <c r="A662" s="38"/>
    </row>
    <row r="663" ht="15.75" customHeight="1">
      <c r="A663" s="38"/>
    </row>
    <row r="664" ht="15.75" customHeight="1">
      <c r="A664" s="38"/>
    </row>
    <row r="665" ht="15.75" customHeight="1">
      <c r="A665" s="38"/>
    </row>
    <row r="666" ht="15.75" customHeight="1">
      <c r="A666" s="38"/>
    </row>
    <row r="667" ht="15.75" customHeight="1">
      <c r="A667" s="38"/>
    </row>
    <row r="668" ht="15.75" customHeight="1">
      <c r="A668" s="38"/>
    </row>
    <row r="669" ht="15.75" customHeight="1">
      <c r="A669" s="38"/>
    </row>
    <row r="670" ht="15.75" customHeight="1">
      <c r="A670" s="38"/>
    </row>
    <row r="671" ht="15.75" customHeight="1">
      <c r="A671" s="38"/>
    </row>
    <row r="672" ht="15.75" customHeight="1">
      <c r="A672" s="38"/>
    </row>
    <row r="673" ht="15.75" customHeight="1">
      <c r="A673" s="38"/>
    </row>
    <row r="674" ht="15.75" customHeight="1">
      <c r="A674" s="38"/>
    </row>
    <row r="675" ht="15.75" customHeight="1">
      <c r="A675" s="38"/>
    </row>
    <row r="676" ht="15.75" customHeight="1">
      <c r="A676" s="38"/>
    </row>
    <row r="677" ht="15.75" customHeight="1">
      <c r="A677" s="38"/>
    </row>
    <row r="678" ht="15.75" customHeight="1">
      <c r="A678" s="38"/>
    </row>
    <row r="679" ht="15.75" customHeight="1">
      <c r="A679" s="38"/>
    </row>
    <row r="680" ht="15.75" customHeight="1">
      <c r="A680" s="38"/>
    </row>
    <row r="681" ht="15.75" customHeight="1">
      <c r="A681" s="38"/>
    </row>
    <row r="682" ht="15.75" customHeight="1">
      <c r="A682" s="38"/>
    </row>
    <row r="683" ht="15.75" customHeight="1">
      <c r="A683" s="38"/>
    </row>
    <row r="684" ht="15.75" customHeight="1">
      <c r="A684" s="38"/>
    </row>
    <row r="685" ht="15.75" customHeight="1">
      <c r="A685" s="38"/>
    </row>
    <row r="686" ht="15.75" customHeight="1">
      <c r="A686" s="38"/>
    </row>
    <row r="687" ht="15.75" customHeight="1">
      <c r="A687" s="38"/>
    </row>
    <row r="688" ht="15.75" customHeight="1">
      <c r="A688" s="38"/>
    </row>
    <row r="689" ht="15.75" customHeight="1">
      <c r="A689" s="38"/>
    </row>
    <row r="690" ht="15.75" customHeight="1">
      <c r="A690" s="38"/>
    </row>
    <row r="691" ht="15.75" customHeight="1">
      <c r="A691" s="38"/>
    </row>
    <row r="692" ht="15.75" customHeight="1">
      <c r="A692" s="38"/>
    </row>
    <row r="693" ht="15.75" customHeight="1">
      <c r="A693" s="38"/>
    </row>
    <row r="694" ht="15.75" customHeight="1">
      <c r="A694" s="38"/>
    </row>
    <row r="695" ht="15.75" customHeight="1">
      <c r="A695" s="38"/>
    </row>
    <row r="696" ht="15.75" customHeight="1">
      <c r="A696" s="38"/>
    </row>
    <row r="697" ht="15.75" customHeight="1">
      <c r="A697" s="38"/>
    </row>
    <row r="698" ht="15.75" customHeight="1">
      <c r="A698" s="38"/>
    </row>
    <row r="699" ht="15.75" customHeight="1">
      <c r="A699" s="38"/>
    </row>
    <row r="700" ht="15.75" customHeight="1">
      <c r="A700" s="38"/>
    </row>
    <row r="701" ht="15.75" customHeight="1">
      <c r="A701" s="38"/>
    </row>
    <row r="702" ht="15.75" customHeight="1">
      <c r="A702" s="38"/>
    </row>
    <row r="703" ht="15.75" customHeight="1">
      <c r="A703" s="38"/>
    </row>
    <row r="704" ht="15.75" customHeight="1">
      <c r="A704" s="38"/>
    </row>
    <row r="705" ht="15.75" customHeight="1">
      <c r="A705" s="38"/>
    </row>
    <row r="706" ht="15.75" customHeight="1">
      <c r="A706" s="38"/>
    </row>
    <row r="707" ht="15.75" customHeight="1">
      <c r="A707" s="38"/>
    </row>
    <row r="708" ht="15.75" customHeight="1">
      <c r="A708" s="38"/>
    </row>
    <row r="709" ht="15.75" customHeight="1">
      <c r="A709" s="38"/>
    </row>
    <row r="710" ht="15.75" customHeight="1">
      <c r="A710" s="38"/>
    </row>
    <row r="711" ht="15.75" customHeight="1">
      <c r="A711" s="38"/>
    </row>
    <row r="712" ht="15.75" customHeight="1">
      <c r="A712" s="38"/>
    </row>
    <row r="713" ht="15.75" customHeight="1">
      <c r="A713" s="38"/>
    </row>
    <row r="714" ht="15.75" customHeight="1">
      <c r="A714" s="38"/>
    </row>
    <row r="715" ht="15.75" customHeight="1">
      <c r="A715" s="38"/>
    </row>
    <row r="716" ht="15.75" customHeight="1">
      <c r="A716" s="38"/>
    </row>
    <row r="717" ht="15.75" customHeight="1">
      <c r="A717" s="38"/>
    </row>
    <row r="718" ht="15.75" customHeight="1">
      <c r="A718" s="38"/>
    </row>
    <row r="719" ht="15.75" customHeight="1">
      <c r="A719" s="38"/>
    </row>
    <row r="720" ht="15.75" customHeight="1">
      <c r="A720" s="38"/>
    </row>
    <row r="721" ht="15.75" customHeight="1">
      <c r="A721" s="38"/>
    </row>
    <row r="722" ht="15.75" customHeight="1">
      <c r="A722" s="38"/>
    </row>
    <row r="723" ht="15.75" customHeight="1">
      <c r="A723" s="38"/>
    </row>
    <row r="724" ht="15.75" customHeight="1">
      <c r="A724" s="38"/>
    </row>
    <row r="725" ht="15.75" customHeight="1">
      <c r="A725" s="38"/>
    </row>
    <row r="726" ht="15.75" customHeight="1">
      <c r="A726" s="38"/>
    </row>
    <row r="727" ht="15.75" customHeight="1">
      <c r="A727" s="38"/>
    </row>
    <row r="728" ht="15.75" customHeight="1">
      <c r="A728" s="38"/>
    </row>
    <row r="729" ht="15.75" customHeight="1">
      <c r="A729" s="38"/>
    </row>
    <row r="730" ht="15.75" customHeight="1">
      <c r="A730" s="38"/>
    </row>
    <row r="731" ht="15.75" customHeight="1">
      <c r="A731" s="38"/>
    </row>
    <row r="732" ht="15.75" customHeight="1">
      <c r="A732" s="38"/>
    </row>
    <row r="733" ht="15.75" customHeight="1">
      <c r="A733" s="38"/>
    </row>
    <row r="734" ht="15.75" customHeight="1">
      <c r="A734" s="38"/>
    </row>
    <row r="735" ht="15.75" customHeight="1">
      <c r="A735" s="38"/>
    </row>
    <row r="736" ht="15.75" customHeight="1">
      <c r="A736" s="38"/>
    </row>
    <row r="737" ht="15.75" customHeight="1">
      <c r="A737" s="38"/>
    </row>
    <row r="738" ht="15.75" customHeight="1">
      <c r="A738" s="38"/>
    </row>
    <row r="739" ht="15.75" customHeight="1">
      <c r="A739" s="38"/>
    </row>
    <row r="740" ht="15.75" customHeight="1">
      <c r="A740" s="38"/>
    </row>
    <row r="741" ht="15.75" customHeight="1">
      <c r="A741" s="38"/>
    </row>
    <row r="742" ht="15.75" customHeight="1">
      <c r="A742" s="38"/>
    </row>
    <row r="743" ht="15.75" customHeight="1">
      <c r="A743" s="38"/>
    </row>
    <row r="744" ht="15.75" customHeight="1">
      <c r="A744" s="38"/>
    </row>
    <row r="745" ht="15.75" customHeight="1">
      <c r="A745" s="38"/>
    </row>
    <row r="746" ht="15.75" customHeight="1">
      <c r="A746" s="38"/>
    </row>
    <row r="747" ht="15.75" customHeight="1">
      <c r="A747" s="38"/>
    </row>
    <row r="748" ht="15.75" customHeight="1">
      <c r="A748" s="38"/>
    </row>
    <row r="749" ht="15.75" customHeight="1">
      <c r="A749" s="38"/>
    </row>
    <row r="750" ht="15.75" customHeight="1">
      <c r="A750" s="38"/>
    </row>
    <row r="751" ht="15.75" customHeight="1">
      <c r="A751" s="38"/>
    </row>
    <row r="752" ht="15.75" customHeight="1">
      <c r="A752" s="38"/>
    </row>
    <row r="753" ht="15.75" customHeight="1">
      <c r="A753" s="38"/>
    </row>
    <row r="754" ht="15.75" customHeight="1">
      <c r="A754" s="38"/>
    </row>
    <row r="755" ht="15.75" customHeight="1">
      <c r="A755" s="38"/>
    </row>
    <row r="756" ht="15.75" customHeight="1">
      <c r="A756" s="38"/>
    </row>
    <row r="757" ht="15.75" customHeight="1">
      <c r="A757" s="38"/>
    </row>
    <row r="758" ht="15.75" customHeight="1">
      <c r="A758" s="38"/>
    </row>
    <row r="759" ht="15.75" customHeight="1">
      <c r="A759" s="38"/>
    </row>
    <row r="760" ht="15.75" customHeight="1">
      <c r="A760" s="38"/>
    </row>
    <row r="761" ht="15.75" customHeight="1">
      <c r="A761" s="38"/>
    </row>
    <row r="762" ht="15.75" customHeight="1">
      <c r="A762" s="38"/>
    </row>
    <row r="763" ht="15.75" customHeight="1">
      <c r="A763" s="38"/>
    </row>
    <row r="764" ht="15.75" customHeight="1">
      <c r="A764" s="38"/>
    </row>
    <row r="765" ht="15.75" customHeight="1">
      <c r="A765" s="38"/>
    </row>
    <row r="766" ht="15.75" customHeight="1">
      <c r="A766" s="38"/>
    </row>
    <row r="767" ht="15.75" customHeight="1">
      <c r="A767" s="38"/>
    </row>
    <row r="768" ht="15.75" customHeight="1">
      <c r="A768" s="38"/>
    </row>
    <row r="769" ht="15.75" customHeight="1">
      <c r="A769" s="38"/>
    </row>
    <row r="770" ht="15.75" customHeight="1">
      <c r="A770" s="38"/>
    </row>
    <row r="771" ht="15.75" customHeight="1">
      <c r="A771" s="38"/>
    </row>
    <row r="772" ht="15.75" customHeight="1">
      <c r="A772" s="38"/>
    </row>
    <row r="773" ht="15.75" customHeight="1">
      <c r="A773" s="38"/>
    </row>
    <row r="774" ht="15.75" customHeight="1">
      <c r="A774" s="38"/>
    </row>
    <row r="775" ht="15.75" customHeight="1">
      <c r="A775" s="38"/>
    </row>
    <row r="776" ht="15.75" customHeight="1">
      <c r="A776" s="38"/>
    </row>
    <row r="777" ht="15.75" customHeight="1">
      <c r="A777" s="38"/>
    </row>
    <row r="778" ht="15.75" customHeight="1">
      <c r="A778" s="38"/>
    </row>
    <row r="779" ht="15.75" customHeight="1">
      <c r="A779" s="38"/>
    </row>
    <row r="780" ht="15.75" customHeight="1">
      <c r="A780" s="38"/>
    </row>
    <row r="781" ht="15.75" customHeight="1">
      <c r="A781" s="38"/>
    </row>
    <row r="782" ht="15.75" customHeight="1">
      <c r="A782" s="38"/>
    </row>
    <row r="783" ht="15.75" customHeight="1">
      <c r="A783" s="38"/>
    </row>
    <row r="784" ht="15.75" customHeight="1">
      <c r="A784" s="38"/>
    </row>
    <row r="785" ht="15.75" customHeight="1">
      <c r="A785" s="38"/>
    </row>
    <row r="786" ht="15.75" customHeight="1">
      <c r="A786" s="38"/>
    </row>
    <row r="787" ht="15.75" customHeight="1">
      <c r="A787" s="38"/>
    </row>
    <row r="788" ht="15.75" customHeight="1">
      <c r="A788" s="38"/>
    </row>
    <row r="789" ht="15.75" customHeight="1">
      <c r="A789" s="38"/>
    </row>
    <row r="790" ht="15.75" customHeight="1">
      <c r="A790" s="38"/>
    </row>
    <row r="791" ht="15.75" customHeight="1">
      <c r="A791" s="38"/>
    </row>
    <row r="792" ht="15.75" customHeight="1">
      <c r="A792" s="38"/>
    </row>
    <row r="793" ht="15.75" customHeight="1">
      <c r="A793" s="38"/>
    </row>
    <row r="794" ht="15.75" customHeight="1">
      <c r="A794" s="38"/>
    </row>
    <row r="795" ht="15.75" customHeight="1">
      <c r="A795" s="38"/>
    </row>
    <row r="796" ht="15.75" customHeight="1">
      <c r="A796" s="38"/>
    </row>
    <row r="797" ht="15.75" customHeight="1">
      <c r="A797" s="38"/>
    </row>
    <row r="798" ht="15.75" customHeight="1">
      <c r="A798" s="38"/>
    </row>
    <row r="799" ht="15.75" customHeight="1">
      <c r="A799" s="38"/>
    </row>
    <row r="800" ht="15.75" customHeight="1">
      <c r="A800" s="38"/>
    </row>
    <row r="801" ht="15.75" customHeight="1">
      <c r="A801" s="38"/>
    </row>
    <row r="802" ht="15.75" customHeight="1">
      <c r="A802" s="38"/>
    </row>
    <row r="803" ht="15.75" customHeight="1">
      <c r="A803" s="38"/>
    </row>
    <row r="804" ht="15.75" customHeight="1">
      <c r="A804" s="38"/>
    </row>
    <row r="805" ht="15.75" customHeight="1">
      <c r="A805" s="38"/>
    </row>
    <row r="806" ht="15.75" customHeight="1">
      <c r="A806" s="38"/>
    </row>
    <row r="807" ht="15.75" customHeight="1">
      <c r="A807" s="38"/>
    </row>
    <row r="808" ht="15.75" customHeight="1">
      <c r="A808" s="38"/>
    </row>
    <row r="809" ht="15.75" customHeight="1">
      <c r="A809" s="38"/>
    </row>
    <row r="810" ht="15.75" customHeight="1">
      <c r="A810" s="38"/>
    </row>
    <row r="811" ht="15.75" customHeight="1">
      <c r="A811" s="38"/>
    </row>
    <row r="812" ht="15.75" customHeight="1">
      <c r="A812" s="38"/>
    </row>
    <row r="813" ht="15.75" customHeight="1">
      <c r="A813" s="38"/>
    </row>
    <row r="814" ht="15.75" customHeight="1">
      <c r="A814" s="38"/>
    </row>
    <row r="815" ht="15.75" customHeight="1">
      <c r="A815" s="38"/>
    </row>
    <row r="816" ht="15.75" customHeight="1">
      <c r="A816" s="38"/>
    </row>
    <row r="817" ht="15.75" customHeight="1">
      <c r="A817" s="38"/>
    </row>
    <row r="818" ht="15.75" customHeight="1">
      <c r="A818" s="38"/>
    </row>
    <row r="819" ht="15.75" customHeight="1">
      <c r="A819" s="38"/>
    </row>
    <row r="820" ht="15.75" customHeight="1">
      <c r="A820" s="38"/>
    </row>
    <row r="821" ht="15.75" customHeight="1">
      <c r="A821" s="38"/>
    </row>
    <row r="822" ht="15.75" customHeight="1">
      <c r="A822" s="38"/>
    </row>
    <row r="823" ht="15.75" customHeight="1">
      <c r="A823" s="38"/>
    </row>
    <row r="824" ht="15.75" customHeight="1">
      <c r="A824" s="38"/>
    </row>
    <row r="825" ht="15.75" customHeight="1">
      <c r="A825" s="38"/>
    </row>
    <row r="826" ht="15.75" customHeight="1">
      <c r="A826" s="38"/>
    </row>
    <row r="827" ht="15.75" customHeight="1">
      <c r="A827" s="38"/>
    </row>
    <row r="828" ht="15.75" customHeight="1">
      <c r="A828" s="38"/>
    </row>
    <row r="829" ht="15.75" customHeight="1">
      <c r="A829" s="38"/>
    </row>
    <row r="830" ht="15.75" customHeight="1">
      <c r="A830" s="38"/>
    </row>
    <row r="831" ht="15.75" customHeight="1">
      <c r="A831" s="38"/>
    </row>
    <row r="832" ht="15.75" customHeight="1">
      <c r="A832" s="38"/>
    </row>
    <row r="833" ht="15.75" customHeight="1">
      <c r="A833" s="38"/>
    </row>
    <row r="834" ht="15.75" customHeight="1">
      <c r="A834" s="38"/>
    </row>
    <row r="835" ht="15.75" customHeight="1">
      <c r="A835" s="38"/>
    </row>
    <row r="836" ht="15.75" customHeight="1">
      <c r="A836" s="38"/>
    </row>
    <row r="837" ht="15.75" customHeight="1">
      <c r="A837" s="38"/>
    </row>
    <row r="838" ht="15.75" customHeight="1">
      <c r="A838" s="38"/>
    </row>
    <row r="839" ht="15.75" customHeight="1">
      <c r="A839" s="38"/>
    </row>
    <row r="840" ht="15.75" customHeight="1">
      <c r="A840" s="38"/>
    </row>
    <row r="841" ht="15.75" customHeight="1">
      <c r="A841" s="38"/>
    </row>
    <row r="842" ht="15.75" customHeight="1">
      <c r="A842" s="38"/>
    </row>
    <row r="843" ht="15.75" customHeight="1">
      <c r="A843" s="38"/>
    </row>
    <row r="844" ht="15.75" customHeight="1">
      <c r="A844" s="38"/>
    </row>
    <row r="845" ht="15.75" customHeight="1">
      <c r="A845" s="38"/>
    </row>
    <row r="846" ht="15.75" customHeight="1">
      <c r="A846" s="38"/>
    </row>
    <row r="847" ht="15.75" customHeight="1">
      <c r="A847" s="38"/>
    </row>
    <row r="848" ht="15.75" customHeight="1">
      <c r="A848" s="38"/>
    </row>
    <row r="849" ht="15.75" customHeight="1">
      <c r="A849" s="38"/>
    </row>
    <row r="850" ht="15.75" customHeight="1">
      <c r="A850" s="38"/>
    </row>
    <row r="851" ht="15.75" customHeight="1">
      <c r="A851" s="38"/>
    </row>
    <row r="852" ht="15.75" customHeight="1">
      <c r="A852" s="38"/>
    </row>
    <row r="853" ht="15.75" customHeight="1">
      <c r="A853" s="38"/>
    </row>
    <row r="854" ht="15.75" customHeight="1">
      <c r="A854" s="38"/>
    </row>
    <row r="855" ht="15.75" customHeight="1">
      <c r="A855" s="38"/>
    </row>
    <row r="856" ht="15.75" customHeight="1">
      <c r="A856" s="38"/>
    </row>
    <row r="857" ht="15.75" customHeight="1">
      <c r="A857" s="38"/>
    </row>
    <row r="858" ht="15.75" customHeight="1">
      <c r="A858" s="38"/>
    </row>
    <row r="859" ht="15.75" customHeight="1">
      <c r="A859" s="38"/>
    </row>
    <row r="860" ht="15.75" customHeight="1">
      <c r="A860" s="38"/>
    </row>
    <row r="861" ht="15.75" customHeight="1">
      <c r="A861" s="38"/>
    </row>
    <row r="862" ht="15.75" customHeight="1">
      <c r="A862" s="38"/>
    </row>
    <row r="863" ht="15.75" customHeight="1">
      <c r="A863" s="38"/>
    </row>
    <row r="864" ht="15.75" customHeight="1">
      <c r="A864" s="38"/>
    </row>
    <row r="865" ht="15.75" customHeight="1">
      <c r="A865" s="38"/>
    </row>
    <row r="866" ht="15.75" customHeight="1">
      <c r="A866" s="38"/>
    </row>
    <row r="867" ht="15.75" customHeight="1">
      <c r="A867" s="38"/>
    </row>
    <row r="868" ht="15.75" customHeight="1">
      <c r="A868" s="38"/>
    </row>
    <row r="869" ht="15.75" customHeight="1">
      <c r="A869" s="38"/>
    </row>
    <row r="870" ht="15.75" customHeight="1">
      <c r="A870" s="38"/>
    </row>
    <row r="871" ht="15.75" customHeight="1">
      <c r="A871" s="38"/>
    </row>
    <row r="872" ht="15.75" customHeight="1">
      <c r="A872" s="38"/>
    </row>
    <row r="873" ht="15.75" customHeight="1">
      <c r="A873" s="38"/>
    </row>
    <row r="874" ht="15.75" customHeight="1">
      <c r="A874" s="38"/>
    </row>
    <row r="875" ht="15.75" customHeight="1">
      <c r="A875" s="38"/>
    </row>
    <row r="876" ht="15.75" customHeight="1">
      <c r="A876" s="38"/>
    </row>
    <row r="877" ht="15.75" customHeight="1">
      <c r="A877" s="38"/>
    </row>
    <row r="878" ht="15.75" customHeight="1">
      <c r="A878" s="38"/>
    </row>
    <row r="879" ht="15.75" customHeight="1">
      <c r="A879" s="38"/>
    </row>
    <row r="880" ht="15.75" customHeight="1">
      <c r="A880" s="38"/>
    </row>
    <row r="881" ht="15.75" customHeight="1">
      <c r="A881" s="38"/>
    </row>
    <row r="882" ht="15.75" customHeight="1">
      <c r="A882" s="38"/>
    </row>
    <row r="883" ht="15.75" customHeight="1">
      <c r="A883" s="38"/>
    </row>
    <row r="884" ht="15.75" customHeight="1">
      <c r="A884" s="38"/>
    </row>
    <row r="885" ht="15.75" customHeight="1">
      <c r="A885" s="38"/>
    </row>
    <row r="886" ht="15.75" customHeight="1">
      <c r="A886" s="38"/>
    </row>
    <row r="887" ht="15.75" customHeight="1">
      <c r="A887" s="38"/>
    </row>
    <row r="888" ht="15.75" customHeight="1">
      <c r="A888" s="38"/>
    </row>
    <row r="889" ht="15.75" customHeight="1">
      <c r="A889" s="38"/>
    </row>
    <row r="890" ht="15.75" customHeight="1">
      <c r="A890" s="38"/>
    </row>
    <row r="891" ht="15.75" customHeight="1">
      <c r="A891" s="38"/>
    </row>
    <row r="892" ht="15.75" customHeight="1">
      <c r="A892" s="38"/>
    </row>
    <row r="893" ht="15.75" customHeight="1">
      <c r="A893" s="38"/>
    </row>
    <row r="894" ht="15.75" customHeight="1">
      <c r="A894" s="38"/>
    </row>
    <row r="895" ht="15.75" customHeight="1">
      <c r="A895" s="38"/>
    </row>
    <row r="896" ht="15.75" customHeight="1">
      <c r="A896" s="38"/>
    </row>
    <row r="897" ht="15.75" customHeight="1">
      <c r="A897" s="38"/>
    </row>
    <row r="898" ht="15.75" customHeight="1">
      <c r="A898" s="38"/>
    </row>
    <row r="899" ht="15.75" customHeight="1">
      <c r="A899" s="38"/>
    </row>
    <row r="900" ht="15.75" customHeight="1">
      <c r="A900" s="38"/>
    </row>
    <row r="901" ht="15.75" customHeight="1">
      <c r="A901" s="38"/>
    </row>
    <row r="902" ht="15.75" customHeight="1">
      <c r="A902" s="38"/>
    </row>
    <row r="903" ht="15.75" customHeight="1">
      <c r="A903" s="38"/>
    </row>
    <row r="904" ht="15.75" customHeight="1">
      <c r="A904" s="38"/>
    </row>
    <row r="905" ht="15.75" customHeight="1">
      <c r="A905" s="38"/>
    </row>
    <row r="906" ht="15.75" customHeight="1">
      <c r="A906" s="38"/>
    </row>
    <row r="907" ht="15.75" customHeight="1">
      <c r="A907" s="38"/>
    </row>
    <row r="908" ht="15.75" customHeight="1">
      <c r="A908" s="38"/>
    </row>
    <row r="909" ht="15.75" customHeight="1">
      <c r="A909" s="38"/>
    </row>
    <row r="910" ht="15.75" customHeight="1">
      <c r="A910" s="38"/>
    </row>
    <row r="911" ht="15.75" customHeight="1">
      <c r="A911" s="38"/>
    </row>
    <row r="912" ht="15.75" customHeight="1">
      <c r="A912" s="38"/>
    </row>
    <row r="913" ht="15.75" customHeight="1">
      <c r="A913" s="38"/>
    </row>
    <row r="914" ht="15.75" customHeight="1">
      <c r="A914" s="38"/>
    </row>
    <row r="915" ht="15.75" customHeight="1">
      <c r="A915" s="38"/>
    </row>
    <row r="916" ht="15.75" customHeight="1">
      <c r="A916" s="38"/>
    </row>
    <row r="917" ht="15.75" customHeight="1">
      <c r="A917" s="38"/>
    </row>
    <row r="918" ht="15.75" customHeight="1">
      <c r="A918" s="38"/>
    </row>
    <row r="919" ht="15.75" customHeight="1">
      <c r="A919" s="38"/>
    </row>
    <row r="920" ht="15.75" customHeight="1">
      <c r="A920" s="38"/>
    </row>
    <row r="921" ht="15.75" customHeight="1">
      <c r="A921" s="38"/>
    </row>
    <row r="922" ht="15.75" customHeight="1">
      <c r="A922" s="38"/>
    </row>
    <row r="923" ht="15.75" customHeight="1">
      <c r="A923" s="38"/>
    </row>
    <row r="924" ht="15.75" customHeight="1">
      <c r="A924" s="38"/>
    </row>
    <row r="925" ht="15.75" customHeight="1">
      <c r="A925" s="38"/>
    </row>
    <row r="926" ht="15.75" customHeight="1">
      <c r="A926" s="38"/>
    </row>
    <row r="927" ht="15.75" customHeight="1">
      <c r="A927" s="38"/>
    </row>
    <row r="928" ht="15.75" customHeight="1">
      <c r="A928" s="38"/>
    </row>
    <row r="929" ht="15.75" customHeight="1">
      <c r="A929" s="38"/>
    </row>
    <row r="930" ht="15.75" customHeight="1">
      <c r="A930" s="38"/>
    </row>
    <row r="931" ht="15.75" customHeight="1">
      <c r="A931" s="38"/>
    </row>
    <row r="932" ht="15.75" customHeight="1">
      <c r="A932" s="38"/>
    </row>
    <row r="933" ht="15.75" customHeight="1">
      <c r="A933" s="38"/>
    </row>
    <row r="934" ht="15.75" customHeight="1">
      <c r="A934" s="38"/>
    </row>
    <row r="935" ht="15.75" customHeight="1">
      <c r="A935" s="38"/>
    </row>
    <row r="936" ht="15.75" customHeight="1">
      <c r="A936" s="38"/>
    </row>
    <row r="937" ht="15.75" customHeight="1">
      <c r="A937" s="38"/>
    </row>
    <row r="938" ht="15.75" customHeight="1">
      <c r="A938" s="38"/>
    </row>
    <row r="939" ht="15.75" customHeight="1">
      <c r="A939" s="38"/>
    </row>
    <row r="940" ht="15.75" customHeight="1">
      <c r="A940" s="38"/>
    </row>
    <row r="941" ht="15.75" customHeight="1">
      <c r="A941" s="38"/>
    </row>
    <row r="942" ht="15.75" customHeight="1">
      <c r="A942" s="38"/>
    </row>
    <row r="943" ht="15.75" customHeight="1">
      <c r="A943" s="38"/>
    </row>
    <row r="944" ht="15.75" customHeight="1">
      <c r="A944" s="38"/>
    </row>
    <row r="945" ht="15.75" customHeight="1">
      <c r="A945" s="38"/>
    </row>
    <row r="946" ht="15.75" customHeight="1">
      <c r="A946" s="38"/>
    </row>
    <row r="947" ht="15.75" customHeight="1">
      <c r="A947" s="38"/>
    </row>
    <row r="948" ht="15.75" customHeight="1">
      <c r="A948" s="38"/>
    </row>
    <row r="949" ht="15.75" customHeight="1">
      <c r="A949" s="38"/>
    </row>
    <row r="950" ht="15.75" customHeight="1">
      <c r="A950" s="38"/>
    </row>
    <row r="951" ht="15.75" customHeight="1">
      <c r="A951" s="38"/>
    </row>
    <row r="952" ht="15.75" customHeight="1">
      <c r="A952" s="38"/>
    </row>
    <row r="953" ht="15.75" customHeight="1">
      <c r="A953" s="38"/>
    </row>
    <row r="954" ht="15.75" customHeight="1">
      <c r="A954" s="38"/>
    </row>
    <row r="955" ht="15.75" customHeight="1">
      <c r="A955" s="38"/>
    </row>
    <row r="956" ht="15.75" customHeight="1">
      <c r="A956" s="38"/>
    </row>
    <row r="957" ht="15.75" customHeight="1">
      <c r="A957" s="38"/>
    </row>
    <row r="958" ht="15.75" customHeight="1">
      <c r="A958" s="38"/>
    </row>
    <row r="959" ht="15.75" customHeight="1">
      <c r="A959" s="38"/>
    </row>
    <row r="960" ht="15.75" customHeight="1">
      <c r="A960" s="38"/>
    </row>
    <row r="961" ht="15.75" customHeight="1">
      <c r="A961" s="38"/>
    </row>
    <row r="962" ht="15.75" customHeight="1">
      <c r="A962" s="38"/>
    </row>
    <row r="963" ht="15.75" customHeight="1">
      <c r="A963" s="38"/>
    </row>
    <row r="964" ht="15.75" customHeight="1">
      <c r="A964" s="38"/>
    </row>
    <row r="965" ht="15.75" customHeight="1">
      <c r="A965" s="38"/>
    </row>
    <row r="966" ht="15.75" customHeight="1">
      <c r="A966" s="38"/>
    </row>
    <row r="967" ht="15.75" customHeight="1">
      <c r="A967" s="38"/>
    </row>
    <row r="968" ht="15.75" customHeight="1">
      <c r="A968" s="38"/>
    </row>
    <row r="969" ht="15.75" customHeight="1">
      <c r="A969" s="38"/>
    </row>
    <row r="970" ht="15.75" customHeight="1">
      <c r="A970" s="38"/>
    </row>
    <row r="971" ht="15.75" customHeight="1">
      <c r="A971" s="38"/>
    </row>
    <row r="972" ht="15.75" customHeight="1">
      <c r="A972" s="38"/>
    </row>
    <row r="973" ht="15.75" customHeight="1">
      <c r="A973" s="38"/>
    </row>
    <row r="974" ht="15.75" customHeight="1">
      <c r="A974" s="38"/>
    </row>
    <row r="975" ht="15.75" customHeight="1">
      <c r="A975" s="38"/>
    </row>
    <row r="976" ht="15.75" customHeight="1">
      <c r="A976" s="38"/>
    </row>
    <row r="977" ht="15.75" customHeight="1">
      <c r="A977" s="38"/>
    </row>
    <row r="978" ht="15.75" customHeight="1">
      <c r="A978" s="38"/>
    </row>
    <row r="979" ht="15.75" customHeight="1">
      <c r="A979" s="38"/>
    </row>
    <row r="980" ht="15.75" customHeight="1">
      <c r="A980" s="38"/>
    </row>
    <row r="981" ht="15.75" customHeight="1">
      <c r="A981" s="38"/>
    </row>
    <row r="982" ht="15.75" customHeight="1">
      <c r="A982" s="38"/>
    </row>
    <row r="983" ht="15.75" customHeight="1">
      <c r="A983" s="38"/>
    </row>
    <row r="984" ht="15.75" customHeight="1">
      <c r="A984" s="38"/>
    </row>
    <row r="985" ht="15.75" customHeight="1">
      <c r="A985" s="38"/>
    </row>
    <row r="986" ht="15.75" customHeight="1">
      <c r="A986" s="38"/>
    </row>
    <row r="987" ht="15.75" customHeight="1">
      <c r="A987" s="38"/>
    </row>
    <row r="988" ht="15.75" customHeight="1">
      <c r="A988" s="38"/>
    </row>
    <row r="989" ht="15.75" customHeight="1">
      <c r="A989" s="38"/>
    </row>
    <row r="990" ht="15.75" customHeight="1">
      <c r="A990" s="38"/>
    </row>
    <row r="991" ht="15.75" customHeight="1">
      <c r="A991" s="38"/>
    </row>
    <row r="992" ht="15.75" customHeight="1">
      <c r="A992" s="38"/>
    </row>
    <row r="993" ht="15.75" customHeight="1">
      <c r="A993" s="38"/>
    </row>
    <row r="994" ht="15.75" customHeight="1">
      <c r="A994" s="38"/>
    </row>
    <row r="995" ht="15.75" customHeight="1">
      <c r="A995" s="38"/>
    </row>
    <row r="996" ht="15.75" customHeight="1">
      <c r="A996" s="38"/>
    </row>
    <row r="997" ht="15.75" customHeight="1">
      <c r="A997" s="38"/>
    </row>
    <row r="998" ht="15.75" customHeight="1">
      <c r="A998" s="38"/>
    </row>
    <row r="999" ht="15.75" customHeight="1">
      <c r="A999" s="38"/>
    </row>
    <row r="1000" ht="15.75" customHeight="1">
      <c r="A1000" s="38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